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lta.mkm.ee/dhs/webdav/b552434dc5b76bc9373552055453a5e8c5e230d8/37906272215/adc096d8-0029-4220-99b9-6c6b0034d45c/"/>
    </mc:Choice>
  </mc:AlternateContent>
  <xr:revisionPtr revIDLastSave="0" documentId="13_ncr:1_{38A0FCA1-7C14-4EFA-8533-0CD9E0765C6A}" xr6:coauthVersionLast="47" xr6:coauthVersionMax="47" xr10:uidLastSave="{00000000-0000-0000-0000-000000000000}"/>
  <bookViews>
    <workbookView xWindow="-120" yWindow="-120" windowWidth="29040" windowHeight="15720" tabRatio="692" firstSheet="4" activeTab="4" xr2:uid="{00000000-000D-0000-FFFF-FFFF00000000}"/>
  </bookViews>
  <sheets>
    <sheet name="kuni 2025 detsember tegevuskava" sheetId="10" state="hidden" r:id="rId1"/>
    <sheet name="Personal" sheetId="29" state="hidden" r:id="rId2"/>
    <sheet name="Seirearuanne" sheetId="24" state="hidden" r:id="rId3"/>
    <sheet name="KK_lisa" sheetId="22" state="hidden" r:id="rId4"/>
    <sheet name="Tegevuskava" sheetId="23" r:id="rId5"/>
    <sheet name="Ettekande arvutused" sheetId="28" state="hidden" r:id="rId6"/>
  </sheets>
  <externalReferences>
    <externalReference r:id="rId7"/>
  </externalReferences>
  <definedNames>
    <definedName name="_xlnm._FilterDatabase" localSheetId="0" hidden="1">'kuni 2025 detsember tegevuskava'!$A$33:$AT$80</definedName>
    <definedName name="_xlnm._FilterDatabase" localSheetId="1" hidden="1">Personal!$A$3:$R$28</definedName>
    <definedName name="_xlnm.Print_Area" localSheetId="4">Tegevuskava!$A$1:$P$120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23" l="1"/>
  <c r="F104" i="23"/>
  <c r="F99" i="23"/>
  <c r="F94" i="23"/>
  <c r="F89" i="23"/>
  <c r="F84" i="23"/>
  <c r="F79" i="23"/>
  <c r="F74" i="23"/>
  <c r="F69" i="23"/>
  <c r="F64" i="23"/>
  <c r="F57" i="23"/>
  <c r="F52" i="23"/>
  <c r="F47" i="23"/>
  <c r="F40" i="23"/>
  <c r="F35" i="23"/>
  <c r="O34" i="23"/>
  <c r="O33" i="23"/>
  <c r="O32" i="23"/>
  <c r="M34" i="23"/>
  <c r="M33" i="23"/>
  <c r="M32" i="23"/>
  <c r="K34" i="23"/>
  <c r="K33" i="23"/>
  <c r="K32" i="23"/>
  <c r="I34" i="23"/>
  <c r="I33" i="23"/>
  <c r="I32" i="23"/>
  <c r="X62" i="10"/>
  <c r="O110" i="23"/>
  <c r="M110" i="23"/>
  <c r="K110" i="23"/>
  <c r="H109" i="23" a="1"/>
  <c r="H109" i="23" s="1"/>
  <c r="H104" i="23" a="1"/>
  <c r="H104" i="23" s="1"/>
  <c r="G94" i="23" a="1"/>
  <c r="G94" i="23" s="1"/>
  <c r="G104" i="23" a="1"/>
  <c r="G104" i="23" s="1"/>
  <c r="E109" i="23"/>
  <c r="D109" i="23"/>
  <c r="C109" i="23"/>
  <c r="B109" i="23"/>
  <c r="O105" i="23"/>
  <c r="M105" i="23"/>
  <c r="K105" i="23"/>
  <c r="H94" i="23" a="1"/>
  <c r="H94" i="23" s="1"/>
  <c r="E104" i="23"/>
  <c r="E99" i="23"/>
  <c r="D104" i="23"/>
  <c r="D99" i="23"/>
  <c r="C104" i="23"/>
  <c r="C99" i="23"/>
  <c r="B104" i="23"/>
  <c r="B99" i="23"/>
  <c r="E35" i="23"/>
  <c r="C35" i="23"/>
  <c r="R50" i="10"/>
  <c r="S50" i="10"/>
  <c r="T50" i="10"/>
  <c r="U50" i="10"/>
  <c r="V50" i="10"/>
  <c r="W50" i="10"/>
  <c r="R51" i="10"/>
  <c r="S51" i="10"/>
  <c r="T51" i="10"/>
  <c r="U51" i="10"/>
  <c r="V51" i="10"/>
  <c r="W51" i="10"/>
  <c r="R52" i="10"/>
  <c r="S52" i="10"/>
  <c r="T52" i="10"/>
  <c r="U52" i="10"/>
  <c r="V52" i="10"/>
  <c r="W52" i="10"/>
  <c r="R53" i="10"/>
  <c r="S53" i="10"/>
  <c r="T53" i="10"/>
  <c r="U53" i="10"/>
  <c r="V53" i="10"/>
  <c r="W53" i="10"/>
  <c r="R54" i="10"/>
  <c r="S54" i="10"/>
  <c r="T54" i="10"/>
  <c r="U54" i="10"/>
  <c r="V54" i="10"/>
  <c r="W54" i="10"/>
  <c r="R55" i="10"/>
  <c r="S55" i="10"/>
  <c r="T55" i="10"/>
  <c r="U55" i="10"/>
  <c r="V55" i="10"/>
  <c r="W55" i="10"/>
  <c r="R56" i="10"/>
  <c r="S56" i="10"/>
  <c r="T56" i="10"/>
  <c r="U56" i="10"/>
  <c r="V56" i="10"/>
  <c r="W56" i="10"/>
  <c r="Q53" i="10" l="1"/>
  <c r="Q51" i="10"/>
  <c r="Q55" i="10"/>
  <c r="Q56" i="10"/>
  <c r="Q52" i="10"/>
  <c r="Q54" i="10"/>
  <c r="Q50" i="10"/>
  <c r="U58" i="10" l="1"/>
  <c r="V58" i="10"/>
  <c r="W58" i="10"/>
  <c r="W36" i="10"/>
  <c r="W37" i="10"/>
  <c r="W38" i="10"/>
  <c r="W39" i="10"/>
  <c r="W40" i="10"/>
  <c r="W41" i="10"/>
  <c r="W42" i="10"/>
  <c r="W43" i="10"/>
  <c r="W44" i="10"/>
  <c r="W45" i="10"/>
  <c r="W46" i="10"/>
  <c r="W47" i="10"/>
  <c r="W48" i="10"/>
  <c r="W49" i="10"/>
  <c r="W57" i="10"/>
  <c r="R48" i="10"/>
  <c r="R46" i="10"/>
  <c r="R45" i="10"/>
  <c r="R44" i="10"/>
  <c r="R43" i="10"/>
  <c r="R42" i="10"/>
  <c r="R41" i="10"/>
  <c r="R40" i="10"/>
  <c r="R39" i="10"/>
  <c r="R38" i="10"/>
  <c r="R37" i="10"/>
  <c r="R36" i="10"/>
  <c r="S48" i="10"/>
  <c r="S46" i="10"/>
  <c r="S45" i="10"/>
  <c r="S44" i="10"/>
  <c r="S43" i="10"/>
  <c r="S42" i="10"/>
  <c r="S41" i="10"/>
  <c r="S40" i="10"/>
  <c r="S39" i="10"/>
  <c r="S38" i="10"/>
  <c r="S37" i="10"/>
  <c r="S36" i="10"/>
  <c r="T48" i="10"/>
  <c r="T46" i="10"/>
  <c r="T45" i="10"/>
  <c r="T44" i="10"/>
  <c r="T43" i="10"/>
  <c r="T42" i="10"/>
  <c r="T41" i="10"/>
  <c r="T40" i="10"/>
  <c r="T39" i="10"/>
  <c r="T38" i="10"/>
  <c r="T37" i="10"/>
  <c r="T36" i="10"/>
  <c r="U48" i="10"/>
  <c r="U46" i="10"/>
  <c r="U45" i="10"/>
  <c r="U44" i="10"/>
  <c r="U43" i="10"/>
  <c r="U42" i="10"/>
  <c r="U41" i="10"/>
  <c r="U40" i="10"/>
  <c r="U39" i="10"/>
  <c r="U38" i="10"/>
  <c r="U37" i="10"/>
  <c r="U36" i="10"/>
  <c r="V48" i="10"/>
  <c r="V46" i="10"/>
  <c r="V45" i="10"/>
  <c r="V44" i="10"/>
  <c r="V43" i="10"/>
  <c r="V42" i="10"/>
  <c r="V41" i="10"/>
  <c r="V40" i="10"/>
  <c r="V39" i="10"/>
  <c r="V38" i="10"/>
  <c r="V37" i="10"/>
  <c r="V36" i="10"/>
  <c r="X58" i="10" l="1"/>
  <c r="A27" i="29" l="1"/>
  <c r="E134" i="28" l="1"/>
  <c r="H133" i="28"/>
  <c r="E133" i="28"/>
  <c r="H132" i="28"/>
  <c r="E132" i="28"/>
  <c r="H131" i="28"/>
  <c r="E131" i="28"/>
  <c r="H130" i="28"/>
  <c r="E130" i="28"/>
  <c r="H129" i="28"/>
  <c r="E129" i="28"/>
  <c r="H128" i="28"/>
  <c r="E128" i="28"/>
  <c r="H127" i="28"/>
  <c r="E127" i="28"/>
  <c r="H126" i="28"/>
  <c r="E126" i="28"/>
  <c r="H125" i="28"/>
  <c r="E125" i="28"/>
  <c r="H124" i="28"/>
  <c r="E124" i="28"/>
  <c r="H123" i="28"/>
  <c r="E123" i="28"/>
  <c r="H122" i="28"/>
  <c r="E122" i="28"/>
  <c r="H121" i="28"/>
  <c r="E121" i="28"/>
  <c r="H120" i="28"/>
  <c r="E120" i="28"/>
  <c r="H119" i="28"/>
  <c r="E119" i="28"/>
  <c r="H118" i="28"/>
  <c r="E118" i="28"/>
  <c r="H117" i="28"/>
  <c r="E117" i="28"/>
  <c r="H116" i="28"/>
  <c r="E116" i="28"/>
  <c r="H115" i="28"/>
  <c r="E115" i="28"/>
  <c r="H114" i="28"/>
  <c r="E114" i="28"/>
  <c r="H113" i="28"/>
  <c r="E113" i="28"/>
  <c r="H112" i="28"/>
  <c r="E112" i="28"/>
  <c r="H111" i="28"/>
  <c r="E111" i="28"/>
  <c r="H110" i="28"/>
  <c r="E110" i="28"/>
  <c r="H109" i="28"/>
  <c r="E109" i="28"/>
  <c r="H108" i="28"/>
  <c r="E108" i="28"/>
  <c r="H107" i="28"/>
  <c r="E107" i="28"/>
  <c r="H106" i="28"/>
  <c r="E106" i="28"/>
  <c r="H105" i="28"/>
  <c r="E105" i="28"/>
  <c r="H104" i="28"/>
  <c r="E104" i="28"/>
  <c r="H103" i="28"/>
  <c r="E103" i="28"/>
  <c r="H102" i="28"/>
  <c r="E102" i="28"/>
  <c r="H101" i="28"/>
  <c r="E101" i="28"/>
  <c r="G100" i="28"/>
  <c r="F100" i="28"/>
  <c r="D100" i="28"/>
  <c r="C100" i="28"/>
  <c r="H94" i="28"/>
  <c r="E94" i="28"/>
  <c r="H93" i="28"/>
  <c r="E93" i="28"/>
  <c r="H92" i="28"/>
  <c r="E92" i="28"/>
  <c r="H91" i="28"/>
  <c r="E91" i="28"/>
  <c r="H90" i="28"/>
  <c r="E90" i="28"/>
  <c r="H89" i="28"/>
  <c r="E89" i="28"/>
  <c r="H88" i="28"/>
  <c r="E88" i="28"/>
  <c r="H87" i="28"/>
  <c r="E87" i="28"/>
  <c r="H86" i="28"/>
  <c r="E86" i="28"/>
  <c r="H85" i="28"/>
  <c r="E85" i="28"/>
  <c r="H84" i="28"/>
  <c r="E84" i="28"/>
  <c r="H83" i="28"/>
  <c r="E83" i="28"/>
  <c r="H82" i="28"/>
  <c r="E82" i="28"/>
  <c r="H81" i="28"/>
  <c r="E81" i="28"/>
  <c r="H80" i="28"/>
  <c r="E80" i="28"/>
  <c r="H79" i="28"/>
  <c r="E79" i="28"/>
  <c r="H78" i="28"/>
  <c r="E78" i="28"/>
  <c r="H77" i="28"/>
  <c r="E77" i="28"/>
  <c r="H76" i="28"/>
  <c r="E76" i="28"/>
  <c r="H75" i="28"/>
  <c r="E75" i="28"/>
  <c r="H74" i="28"/>
  <c r="E74" i="28"/>
  <c r="H73" i="28"/>
  <c r="E73" i="28"/>
  <c r="H72" i="28"/>
  <c r="E72" i="28"/>
  <c r="H71" i="28"/>
  <c r="E71" i="28"/>
  <c r="H70" i="28"/>
  <c r="E70" i="28"/>
  <c r="G69" i="28"/>
  <c r="F69" i="28"/>
  <c r="D69" i="28"/>
  <c r="C69" i="28"/>
  <c r="I52" i="28"/>
  <c r="H52" i="28"/>
  <c r="G52" i="28"/>
  <c r="F52" i="28"/>
  <c r="E52" i="28"/>
  <c r="D52" i="28"/>
  <c r="C44" i="28"/>
  <c r="C43" i="28"/>
  <c r="C42" i="28"/>
  <c r="C38" i="28"/>
  <c r="C37" i="28"/>
  <c r="C36" i="28"/>
  <c r="D23" i="28"/>
  <c r="C23" i="28"/>
  <c r="D22" i="28"/>
  <c r="C22" i="28"/>
  <c r="D21" i="28"/>
  <c r="C21" i="28"/>
  <c r="D9" i="28"/>
  <c r="C9" i="28"/>
  <c r="D8" i="28"/>
  <c r="C8" i="28"/>
  <c r="D7" i="28"/>
  <c r="C7" i="28"/>
  <c r="V49" i="10"/>
  <c r="U49" i="10"/>
  <c r="T49" i="10"/>
  <c r="S49" i="10"/>
  <c r="R49" i="10"/>
  <c r="V57" i="10"/>
  <c r="U57" i="10"/>
  <c r="T57" i="10"/>
  <c r="S57" i="10"/>
  <c r="R57" i="10"/>
  <c r="S47" i="10"/>
  <c r="T47" i="10"/>
  <c r="U47" i="10"/>
  <c r="C22" i="22"/>
  <c r="D22" i="22"/>
  <c r="E22" i="22"/>
  <c r="F22" i="22"/>
  <c r="G22" i="22"/>
  <c r="H22" i="22"/>
  <c r="I22" i="22"/>
  <c r="B22" i="22"/>
  <c r="B19" i="22"/>
  <c r="F8" i="28" l="1"/>
  <c r="F23" i="28"/>
  <c r="H69" i="28"/>
  <c r="E69" i="28"/>
  <c r="E100" i="28"/>
  <c r="H100" i="28"/>
  <c r="D6" i="28"/>
  <c r="E7" i="28"/>
  <c r="F21" i="28"/>
  <c r="E9" i="28"/>
  <c r="C41" i="28"/>
  <c r="F7" i="28"/>
  <c r="F22" i="28"/>
  <c r="E23" i="28"/>
  <c r="E21" i="28"/>
  <c r="F9" i="28"/>
  <c r="C6" i="28"/>
  <c r="C20" i="28"/>
  <c r="C35" i="28"/>
  <c r="E8" i="28"/>
  <c r="E22" i="28"/>
  <c r="D20" i="28"/>
  <c r="Q49" i="10"/>
  <c r="Q48" i="10"/>
  <c r="Q57" i="10"/>
  <c r="AB64" i="10"/>
  <c r="AF70" i="10"/>
  <c r="AE70" i="10"/>
  <c r="AD70" i="10"/>
  <c r="AC70" i="10"/>
  <c r="AB70" i="10"/>
  <c r="AA70" i="10"/>
  <c r="Z70" i="10"/>
  <c r="Y70" i="10"/>
  <c r="X70" i="10"/>
  <c r="AF67" i="10"/>
  <c r="AE67" i="10"/>
  <c r="AD67" i="10"/>
  <c r="AC67" i="10"/>
  <c r="AB67" i="10"/>
  <c r="AA67" i="10"/>
  <c r="Z67" i="10"/>
  <c r="Y67" i="10"/>
  <c r="X67" i="10"/>
  <c r="AC64" i="10"/>
  <c r="F6" i="28" l="1"/>
  <c r="E20" i="28"/>
  <c r="E6" i="28"/>
  <c r="F20" i="28"/>
  <c r="AC61" i="10"/>
  <c r="Z61" i="10"/>
  <c r="X61" i="10"/>
  <c r="AF61" i="10"/>
  <c r="AD61" i="10"/>
  <c r="AE61" i="10"/>
  <c r="Y61" i="10"/>
  <c r="X64" i="10"/>
  <c r="AA61" i="10"/>
  <c r="AE64" i="10"/>
  <c r="AB61" i="10"/>
  <c r="AF64" i="10"/>
  <c r="AD64" i="10"/>
  <c r="Y64" i="10"/>
  <c r="Z64" i="10"/>
  <c r="AA64" i="10"/>
  <c r="J4" i="10"/>
  <c r="E16" i="23" l="1" a="1"/>
  <c r="E16" i="23" s="1"/>
  <c r="D16" i="23" a="1"/>
  <c r="D16" i="23" s="1"/>
  <c r="F16" i="23" a="1"/>
  <c r="F16" i="23" s="1"/>
  <c r="W35" i="10" l="1"/>
  <c r="U36" i="24"/>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E11" i="10"/>
  <c r="D11" i="10"/>
  <c r="C11" i="10"/>
  <c r="B11" i="10" l="1"/>
  <c r="D7" i="24"/>
  <c r="D10" i="24"/>
  <c r="D14" i="24"/>
  <c r="D13" i="24"/>
  <c r="D6" i="24"/>
  <c r="G35" i="23" a="1"/>
  <c r="G35" i="23" s="1"/>
  <c r="K80" i="23"/>
  <c r="O113" i="23"/>
  <c r="M113" i="23"/>
  <c r="K113" i="23"/>
  <c r="O108" i="23"/>
  <c r="M108" i="23"/>
  <c r="K108" i="23"/>
  <c r="O100" i="23"/>
  <c r="M100" i="23"/>
  <c r="K100" i="23"/>
  <c r="O95" i="23"/>
  <c r="M95" i="23"/>
  <c r="K95" i="23"/>
  <c r="O90" i="23"/>
  <c r="M90" i="23"/>
  <c r="K90" i="23"/>
  <c r="O85" i="23"/>
  <c r="M85" i="23"/>
  <c r="K85" i="23"/>
  <c r="O80" i="23"/>
  <c r="M80" i="23"/>
  <c r="O75" i="23"/>
  <c r="M75" i="23"/>
  <c r="K75" i="23"/>
  <c r="O70" i="23"/>
  <c r="M70" i="23"/>
  <c r="K70" i="23"/>
  <c r="M36" i="23"/>
  <c r="O65" i="23"/>
  <c r="M65" i="23"/>
  <c r="K65" i="23"/>
  <c r="O59" i="23"/>
  <c r="O58" i="23"/>
  <c r="M59" i="23"/>
  <c r="M58" i="23"/>
  <c r="K59" i="23"/>
  <c r="K58" i="23"/>
  <c r="X91" i="10"/>
  <c r="Y100" i="10"/>
  <c r="Z100" i="10"/>
  <c r="AA100" i="10"/>
  <c r="AB100" i="10"/>
  <c r="AC100" i="10"/>
  <c r="AD100" i="10"/>
  <c r="AE100" i="10"/>
  <c r="AF100" i="10"/>
  <c r="Y97" i="10"/>
  <c r="Z97" i="10"/>
  <c r="AA97" i="10"/>
  <c r="AB97" i="10"/>
  <c r="AC97" i="10"/>
  <c r="AD97" i="10"/>
  <c r="AE97" i="10"/>
  <c r="AF97" i="10"/>
  <c r="Y94" i="10"/>
  <c r="Z94" i="10"/>
  <c r="AA94" i="10"/>
  <c r="AB94" i="10"/>
  <c r="AC94" i="10"/>
  <c r="AD94" i="10"/>
  <c r="AE94" i="10"/>
  <c r="AF94" i="10"/>
  <c r="X100" i="10"/>
  <c r="X97" i="10"/>
  <c r="X94" i="10"/>
  <c r="Y91" i="10"/>
  <c r="Z91" i="10"/>
  <c r="AA91" i="10"/>
  <c r="AB91" i="10"/>
  <c r="AC91" i="10"/>
  <c r="AD91" i="10"/>
  <c r="AE91" i="10"/>
  <c r="AF91" i="10"/>
  <c r="Y85" i="10"/>
  <c r="Z85" i="10"/>
  <c r="AA85" i="10"/>
  <c r="AB85" i="10"/>
  <c r="AC85" i="10"/>
  <c r="AD85" i="10"/>
  <c r="AE85" i="10"/>
  <c r="AF85" i="10"/>
  <c r="X85" i="10"/>
  <c r="Y82" i="10"/>
  <c r="Z82" i="10"/>
  <c r="AA82" i="10"/>
  <c r="AB82" i="10"/>
  <c r="AC82" i="10"/>
  <c r="AD82" i="10"/>
  <c r="AE82" i="10"/>
  <c r="AF82" i="10"/>
  <c r="X82" i="10"/>
  <c r="Y79" i="10"/>
  <c r="Z79" i="10"/>
  <c r="AA79" i="10"/>
  <c r="AB79" i="10"/>
  <c r="AC79" i="10"/>
  <c r="AD79" i="10"/>
  <c r="AE79" i="10"/>
  <c r="AF79" i="10"/>
  <c r="X79" i="10"/>
  <c r="Y76" i="10"/>
  <c r="Z76" i="10"/>
  <c r="AA76" i="10"/>
  <c r="AB76" i="10"/>
  <c r="AC76" i="10"/>
  <c r="AD76" i="10"/>
  <c r="AE76" i="10"/>
  <c r="AF76" i="10"/>
  <c r="X76" i="10"/>
  <c r="J110" i="23"/>
  <c r="L110" i="23"/>
  <c r="N110" i="23"/>
  <c r="P110" i="23"/>
  <c r="J113" i="23"/>
  <c r="L113" i="23"/>
  <c r="N113" i="23"/>
  <c r="P113" i="23"/>
  <c r="J105" i="23"/>
  <c r="L105" i="23"/>
  <c r="N105" i="23"/>
  <c r="P105" i="23"/>
  <c r="J108" i="23"/>
  <c r="L108" i="23"/>
  <c r="N108" i="23"/>
  <c r="P108" i="23"/>
  <c r="D15" i="23" l="1" a="1"/>
  <c r="D15" i="23" s="1"/>
  <c r="F17" i="23" a="1"/>
  <c r="F17" i="23" s="1"/>
  <c r="F15" i="23" a="1"/>
  <c r="F15" i="23" s="1"/>
  <c r="E15" i="23" a="1"/>
  <c r="E15" i="23" s="1"/>
  <c r="E17" i="23" a="1"/>
  <c r="E17" i="23" s="1"/>
  <c r="D17" i="23" a="1"/>
  <c r="D17" i="23" s="1"/>
  <c r="O112" i="23"/>
  <c r="M112" i="23"/>
  <c r="K112" i="23"/>
  <c r="K109" i="23"/>
  <c r="I110" i="23"/>
  <c r="I113" i="23"/>
  <c r="O109" i="23"/>
  <c r="M109" i="23"/>
  <c r="M107" i="23"/>
  <c r="K104" i="23"/>
  <c r="O107" i="23"/>
  <c r="I105" i="23"/>
  <c r="I108" i="23"/>
  <c r="O104" i="23"/>
  <c r="M104" i="23"/>
  <c r="I112" i="23" l="1"/>
  <c r="I104" i="23"/>
  <c r="I109" i="23"/>
  <c r="I107" i="23"/>
  <c r="K107" i="23"/>
  <c r="Z80" i="10" l="1"/>
  <c r="Y80" i="10"/>
  <c r="X80" i="10"/>
  <c r="AF77" i="10"/>
  <c r="AD77" i="10"/>
  <c r="AB77" i="10"/>
  <c r="Z77" i="10"/>
  <c r="X77" i="10"/>
  <c r="AF101" i="10"/>
  <c r="AE101" i="10"/>
  <c r="AD101" i="10"/>
  <c r="AC101" i="10"/>
  <c r="AB101" i="10"/>
  <c r="AA101" i="10"/>
  <c r="Z101" i="10"/>
  <c r="Y101" i="10"/>
  <c r="X101" i="10"/>
  <c r="AF98" i="10"/>
  <c r="AE98" i="10"/>
  <c r="AD98" i="10"/>
  <c r="AC98" i="10"/>
  <c r="AB98" i="10"/>
  <c r="AA98" i="10"/>
  <c r="Z98" i="10"/>
  <c r="Y98" i="10"/>
  <c r="X98" i="10"/>
  <c r="AF95" i="10"/>
  <c r="AF86" i="10"/>
  <c r="AE95" i="10"/>
  <c r="AE86" i="10"/>
  <c r="AD86" i="10"/>
  <c r="AC86" i="10"/>
  <c r="AD95" i="10"/>
  <c r="AB86" i="10"/>
  <c r="AC95" i="10"/>
  <c r="AA86" i="10"/>
  <c r="Z86" i="10"/>
  <c r="AB95" i="10"/>
  <c r="Y86" i="10"/>
  <c r="X86" i="10"/>
  <c r="AA95" i="10"/>
  <c r="Z95" i="10"/>
  <c r="Y95" i="10"/>
  <c r="AF83" i="10"/>
  <c r="AE83" i="10"/>
  <c r="AD83" i="10"/>
  <c r="X95" i="10"/>
  <c r="AC83" i="10"/>
  <c r="AB83" i="10"/>
  <c r="AA83" i="10"/>
  <c r="Z83" i="10"/>
  <c r="Y83" i="10"/>
  <c r="X83" i="10"/>
  <c r="AF80" i="10"/>
  <c r="AF92" i="10"/>
  <c r="AE92" i="10"/>
  <c r="AD92" i="10"/>
  <c r="AC92" i="10"/>
  <c r="AB92" i="10"/>
  <c r="Z92" i="10"/>
  <c r="Y92" i="10"/>
  <c r="AE80" i="10"/>
  <c r="AD80" i="10"/>
  <c r="AC80" i="10"/>
  <c r="AB80" i="10"/>
  <c r="AA80" i="10"/>
  <c r="Y58" i="10"/>
  <c r="Z58" i="10"/>
  <c r="AA58" i="10"/>
  <c r="AB58" i="10"/>
  <c r="AC58" i="10"/>
  <c r="AD58" i="10"/>
  <c r="AE58" i="10"/>
  <c r="AF58" i="10"/>
  <c r="R58" i="10" l="1"/>
  <c r="AB59" i="10"/>
  <c r="AD59" i="10"/>
  <c r="AE59" i="10"/>
  <c r="AF59" i="10"/>
  <c r="AA59" i="10"/>
  <c r="AC59" i="10"/>
  <c r="AC77" i="10"/>
  <c r="AA77" i="10"/>
  <c r="Y77" i="10"/>
  <c r="X92" i="10"/>
  <c r="AA92" i="10"/>
  <c r="AE77" i="10"/>
  <c r="AF62" i="10" l="1"/>
  <c r="AD62" i="10"/>
  <c r="AB62" i="10"/>
  <c r="AC62" i="10"/>
  <c r="AE62" i="10"/>
  <c r="Z71" i="10"/>
  <c r="Y71" i="10"/>
  <c r="X71" i="10"/>
  <c r="Z68" i="10"/>
  <c r="Y68" i="10"/>
  <c r="X68" i="10"/>
  <c r="AA62" i="10"/>
  <c r="AF71" i="10"/>
  <c r="AE71" i="10"/>
  <c r="AD71" i="10"/>
  <c r="AC71" i="10"/>
  <c r="AB71" i="10"/>
  <c r="AA71" i="10"/>
  <c r="AF68" i="10"/>
  <c r="AE68" i="10"/>
  <c r="AD68" i="10"/>
  <c r="AC68" i="10"/>
  <c r="AB68" i="10"/>
  <c r="AA68" i="10"/>
  <c r="AF65" i="10"/>
  <c r="AE65" i="10"/>
  <c r="AD65" i="10"/>
  <c r="AC65" i="10"/>
  <c r="AB65" i="10"/>
  <c r="AA65" i="10"/>
  <c r="E23" i="23" l="1"/>
  <c r="D5" i="22" s="1"/>
  <c r="F24" i="23"/>
  <c r="E6" i="22" s="1"/>
  <c r="D25" i="23"/>
  <c r="C7" i="22" s="1"/>
  <c r="E25" i="23"/>
  <c r="D7" i="22" s="1"/>
  <c r="F25" i="23"/>
  <c r="E7" i="22" s="1"/>
  <c r="E24" i="23"/>
  <c r="D6" i="22" s="1"/>
  <c r="E26" i="23"/>
  <c r="D8" i="22" s="1"/>
  <c r="Z65" i="10"/>
  <c r="Z59" i="10"/>
  <c r="F26" i="23"/>
  <c r="E8" i="22" s="1"/>
  <c r="Y65" i="10"/>
  <c r="K93" i="23" s="1"/>
  <c r="Y59" i="10"/>
  <c r="D26" i="23"/>
  <c r="C8" i="22" s="1"/>
  <c r="X65" i="10"/>
  <c r="X59" i="10"/>
  <c r="F23" i="23"/>
  <c r="E5" i="22" s="1"/>
  <c r="Z62" i="10"/>
  <c r="Y62" i="10"/>
  <c r="J100" i="23"/>
  <c r="K103" i="23"/>
  <c r="L100" i="23"/>
  <c r="M103" i="23"/>
  <c r="N100" i="23"/>
  <c r="O103" i="23"/>
  <c r="P100" i="23"/>
  <c r="J103" i="23"/>
  <c r="L103" i="23"/>
  <c r="N103" i="23"/>
  <c r="P103" i="23"/>
  <c r="J95" i="23"/>
  <c r="K98" i="23"/>
  <c r="L95" i="23"/>
  <c r="M98" i="23"/>
  <c r="N95" i="23"/>
  <c r="O98" i="23"/>
  <c r="P95" i="23"/>
  <c r="J98" i="23"/>
  <c r="L98" i="23"/>
  <c r="N98" i="23"/>
  <c r="P98" i="23"/>
  <c r="J90" i="23"/>
  <c r="L90" i="23"/>
  <c r="M93" i="23"/>
  <c r="N90" i="23"/>
  <c r="O93" i="23"/>
  <c r="P90" i="23"/>
  <c r="J93" i="23"/>
  <c r="L93" i="23"/>
  <c r="N93" i="23"/>
  <c r="P93" i="23"/>
  <c r="J85" i="23"/>
  <c r="L85" i="23"/>
  <c r="M88" i="23"/>
  <c r="N85" i="23"/>
  <c r="O88" i="23"/>
  <c r="P85" i="23"/>
  <c r="J88" i="23"/>
  <c r="L88" i="23"/>
  <c r="N88" i="23"/>
  <c r="P88" i="23"/>
  <c r="J80" i="23"/>
  <c r="K83" i="23"/>
  <c r="L80" i="23"/>
  <c r="M83" i="23"/>
  <c r="N80" i="23"/>
  <c r="O83" i="23"/>
  <c r="P80" i="23"/>
  <c r="J83" i="23"/>
  <c r="L83" i="23"/>
  <c r="N83" i="23"/>
  <c r="P83" i="23"/>
  <c r="J75" i="23"/>
  <c r="K78" i="23"/>
  <c r="L75" i="23"/>
  <c r="M78" i="23"/>
  <c r="N75" i="23"/>
  <c r="O78" i="23"/>
  <c r="P75" i="23"/>
  <c r="J78" i="23"/>
  <c r="L78" i="23"/>
  <c r="N78" i="23"/>
  <c r="P78" i="23"/>
  <c r="J70" i="23"/>
  <c r="K73" i="23"/>
  <c r="L70" i="23"/>
  <c r="M73" i="23"/>
  <c r="N70" i="23"/>
  <c r="O73" i="23"/>
  <c r="P70" i="23"/>
  <c r="J73" i="23"/>
  <c r="L73" i="23"/>
  <c r="N73" i="23"/>
  <c r="P73" i="23"/>
  <c r="J65" i="23"/>
  <c r="L65" i="23"/>
  <c r="M68" i="23"/>
  <c r="N65" i="23"/>
  <c r="O68" i="23"/>
  <c r="P65" i="23"/>
  <c r="J68" i="23"/>
  <c r="L68" i="23"/>
  <c r="N68" i="23"/>
  <c r="P68" i="23"/>
  <c r="J58" i="23"/>
  <c r="L58" i="23"/>
  <c r="M62" i="23"/>
  <c r="N58" i="23"/>
  <c r="O62" i="23"/>
  <c r="P58" i="23"/>
  <c r="J59" i="23"/>
  <c r="L59" i="23"/>
  <c r="M63" i="23"/>
  <c r="N59" i="23"/>
  <c r="P59" i="23"/>
  <c r="J62" i="23"/>
  <c r="L62" i="23"/>
  <c r="N62" i="23"/>
  <c r="P62" i="23"/>
  <c r="J63" i="23"/>
  <c r="L63" i="23"/>
  <c r="N63" i="23"/>
  <c r="P63" i="23"/>
  <c r="E14" i="23"/>
  <c r="F14" i="23"/>
  <c r="C15" i="23"/>
  <c r="C17" i="23"/>
  <c r="D9" i="22" l="1"/>
  <c r="B8" i="22"/>
  <c r="E9" i="22"/>
  <c r="B7" i="22"/>
  <c r="C25" i="23"/>
  <c r="D24" i="23"/>
  <c r="K92" i="23"/>
  <c r="E22" i="23"/>
  <c r="C26" i="23"/>
  <c r="F22" i="23"/>
  <c r="D23" i="23"/>
  <c r="C5" i="22" s="1"/>
  <c r="K94" i="23"/>
  <c r="O102" i="23"/>
  <c r="M99" i="23"/>
  <c r="K102" i="23"/>
  <c r="K99" i="23"/>
  <c r="I103" i="23"/>
  <c r="M102" i="23"/>
  <c r="I90" i="23"/>
  <c r="K97" i="23"/>
  <c r="I100" i="23"/>
  <c r="O89" i="23"/>
  <c r="I95" i="23"/>
  <c r="O99" i="23"/>
  <c r="O97" i="23"/>
  <c r="I98" i="23"/>
  <c r="M97" i="23"/>
  <c r="O94" i="23"/>
  <c r="M94" i="23"/>
  <c r="O92" i="23"/>
  <c r="I93" i="23"/>
  <c r="M89" i="23"/>
  <c r="I85" i="23"/>
  <c r="K84" i="23"/>
  <c r="O87" i="23"/>
  <c r="M87" i="23"/>
  <c r="K88" i="23"/>
  <c r="I88" i="23" s="1"/>
  <c r="M84" i="23"/>
  <c r="O84" i="23"/>
  <c r="I83" i="23"/>
  <c r="K79" i="23"/>
  <c r="K77" i="23"/>
  <c r="O82" i="23"/>
  <c r="M82" i="23"/>
  <c r="I80" i="23"/>
  <c r="O79" i="23"/>
  <c r="M79" i="23"/>
  <c r="O77" i="23"/>
  <c r="I78" i="23"/>
  <c r="I75" i="23"/>
  <c r="M77" i="23"/>
  <c r="K74" i="23"/>
  <c r="O74" i="23"/>
  <c r="M74" i="23"/>
  <c r="O72" i="23"/>
  <c r="I73" i="23"/>
  <c r="M72" i="23"/>
  <c r="I70" i="23"/>
  <c r="O69" i="23"/>
  <c r="M69" i="23"/>
  <c r="K57" i="23"/>
  <c r="O67" i="23"/>
  <c r="M57" i="23"/>
  <c r="M67" i="23"/>
  <c r="I58" i="23"/>
  <c r="O57" i="23"/>
  <c r="K62" i="23"/>
  <c r="I62" i="23" s="1"/>
  <c r="O64" i="23"/>
  <c r="M64" i="23"/>
  <c r="O63" i="23"/>
  <c r="O61" i="23" s="1"/>
  <c r="I59" i="23"/>
  <c r="K63" i="23"/>
  <c r="M61" i="23"/>
  <c r="D14" i="23" l="1"/>
  <c r="C14" i="23" s="1"/>
  <c r="C16" i="23"/>
  <c r="B5" i="22"/>
  <c r="C24" i="23"/>
  <c r="C6" i="22"/>
  <c r="B6" i="22" s="1"/>
  <c r="I89" i="23"/>
  <c r="I99" i="23"/>
  <c r="I84" i="23"/>
  <c r="D22" i="23"/>
  <c r="C22" i="23" s="1"/>
  <c r="K89" i="23"/>
  <c r="I92" i="23"/>
  <c r="C23" i="23"/>
  <c r="I97" i="23"/>
  <c r="I87" i="23"/>
  <c r="I102" i="23"/>
  <c r="I74" i="23"/>
  <c r="I63" i="23"/>
  <c r="I61" i="23" s="1"/>
  <c r="I79" i="23"/>
  <c r="I94" i="23"/>
  <c r="M92" i="23"/>
  <c r="I82" i="23"/>
  <c r="K87" i="23"/>
  <c r="I77" i="23"/>
  <c r="K82" i="23"/>
  <c r="K61" i="23"/>
  <c r="I57"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9" i="24"/>
  <c r="C7" i="24"/>
  <c r="R47" i="10"/>
  <c r="V47" i="10"/>
  <c r="E8" i="10"/>
  <c r="S58" i="10"/>
  <c r="T58" i="10"/>
  <c r="V35" i="10"/>
  <c r="U35" i="10"/>
  <c r="T35" i="10"/>
  <c r="E6" i="10" s="1"/>
  <c r="S35" i="10"/>
  <c r="R35" i="10"/>
  <c r="O53" i="23"/>
  <c r="O56" i="23" s="1"/>
  <c r="M53" i="23"/>
  <c r="M56" i="23" s="1"/>
  <c r="K53" i="23"/>
  <c r="K56" i="23" s="1"/>
  <c r="P56" i="23"/>
  <c r="N56" i="23"/>
  <c r="L56" i="23"/>
  <c r="J56" i="23"/>
  <c r="P53" i="23"/>
  <c r="N53" i="23"/>
  <c r="L53" i="23"/>
  <c r="J53" i="23"/>
  <c r="M39" i="23"/>
  <c r="O48" i="23"/>
  <c r="M48" i="23"/>
  <c r="M51" i="23" s="1"/>
  <c r="K48" i="23"/>
  <c r="K51" i="23" s="1"/>
  <c r="P51" i="23"/>
  <c r="N51" i="23"/>
  <c r="L51" i="23"/>
  <c r="J51" i="23"/>
  <c r="P48" i="23"/>
  <c r="N48" i="23"/>
  <c r="L48" i="23"/>
  <c r="J48" i="23"/>
  <c r="O42" i="23"/>
  <c r="O41" i="23"/>
  <c r="M42" i="23"/>
  <c r="M46" i="23" s="1"/>
  <c r="M41" i="23"/>
  <c r="K42" i="23"/>
  <c r="K46" i="23" s="1"/>
  <c r="K41" i="23"/>
  <c r="P46" i="23"/>
  <c r="N46" i="23"/>
  <c r="L46" i="23"/>
  <c r="J46" i="23"/>
  <c r="P45" i="23"/>
  <c r="N45" i="23"/>
  <c r="L45" i="23"/>
  <c r="J45" i="23"/>
  <c r="P42" i="23"/>
  <c r="N42" i="23"/>
  <c r="L42" i="23"/>
  <c r="J42" i="23"/>
  <c r="P41" i="23"/>
  <c r="N41" i="23"/>
  <c r="L41" i="23"/>
  <c r="J41" i="23"/>
  <c r="P39" i="23"/>
  <c r="N39" i="23"/>
  <c r="O36" i="23"/>
  <c r="K36" i="23"/>
  <c r="P36" i="23"/>
  <c r="N36" i="23"/>
  <c r="L39" i="23"/>
  <c r="J39" i="23"/>
  <c r="L36" i="23"/>
  <c r="J36" i="23"/>
  <c r="P34" i="23"/>
  <c r="P33" i="23"/>
  <c r="P32" i="23"/>
  <c r="B40" i="23"/>
  <c r="C40" i="23"/>
  <c r="D40" i="23"/>
  <c r="E40" i="23"/>
  <c r="G40" i="23" a="1"/>
  <c r="G40" i="23" s="1"/>
  <c r="H40" i="23" a="1"/>
  <c r="H40" i="23" s="1"/>
  <c r="B47" i="23"/>
  <c r="C47" i="23"/>
  <c r="D47" i="23"/>
  <c r="E47" i="23"/>
  <c r="G47" i="23" a="1"/>
  <c r="G47" i="23" s="1"/>
  <c r="H47" i="23" a="1"/>
  <c r="H47" i="23" s="1"/>
  <c r="B52" i="23"/>
  <c r="C52" i="23"/>
  <c r="D52" i="23"/>
  <c r="E52" i="23"/>
  <c r="G52" i="23" a="1"/>
  <c r="G52" i="23" s="1"/>
  <c r="H52" i="23" a="1"/>
  <c r="H52" i="23" s="1"/>
  <c r="B57" i="23"/>
  <c r="C57" i="23"/>
  <c r="D57" i="23"/>
  <c r="E57" i="23"/>
  <c r="G57" i="23" a="1"/>
  <c r="G57" i="23" s="1"/>
  <c r="H57" i="23" a="1"/>
  <c r="H57" i="23" s="1"/>
  <c r="B64" i="23"/>
  <c r="C64" i="23"/>
  <c r="D64" i="23"/>
  <c r="E64" i="23"/>
  <c r="G64" i="23" a="1"/>
  <c r="G64" i="23" s="1"/>
  <c r="H64" i="23" a="1"/>
  <c r="H64" i="23" s="1"/>
  <c r="B69" i="23"/>
  <c r="C69" i="23"/>
  <c r="D69" i="23"/>
  <c r="E69" i="23"/>
  <c r="G69" i="23" a="1"/>
  <c r="G69" i="23" s="1"/>
  <c r="H69" i="23" a="1"/>
  <c r="H69" i="23" s="1"/>
  <c r="B74" i="23"/>
  <c r="C74" i="23"/>
  <c r="D74" i="23"/>
  <c r="E74" i="23"/>
  <c r="G74" i="23" a="1"/>
  <c r="G74" i="23" s="1"/>
  <c r="H74" i="23" a="1"/>
  <c r="H74" i="23" s="1"/>
  <c r="B79" i="23"/>
  <c r="C79" i="23"/>
  <c r="D79" i="23"/>
  <c r="E79" i="23"/>
  <c r="G79" i="23" a="1"/>
  <c r="G79" i="23" s="1"/>
  <c r="H79" i="23" a="1"/>
  <c r="H79" i="23" s="1"/>
  <c r="B84" i="23"/>
  <c r="C84" i="23"/>
  <c r="D84" i="23"/>
  <c r="E84" i="23"/>
  <c r="G84" i="23" a="1"/>
  <c r="G84" i="23" s="1"/>
  <c r="H84" i="23" a="1"/>
  <c r="H84" i="23" s="1"/>
  <c r="B89" i="23"/>
  <c r="C89" i="23"/>
  <c r="D89" i="23"/>
  <c r="E89" i="23"/>
  <c r="G89" i="23" a="1"/>
  <c r="G89" i="23" s="1"/>
  <c r="H89" i="23" a="1"/>
  <c r="H89" i="23" s="1"/>
  <c r="B94" i="23"/>
  <c r="C94" i="23"/>
  <c r="D94" i="23"/>
  <c r="E94" i="23"/>
  <c r="H99" i="23" a="1"/>
  <c r="H99" i="23" s="1"/>
  <c r="B35" i="23"/>
  <c r="H35" i="23" a="1"/>
  <c r="H35" i="23" s="1"/>
  <c r="D35" i="23"/>
  <c r="N34" i="23"/>
  <c r="L34" i="23"/>
  <c r="J34" i="23"/>
  <c r="N33" i="23"/>
  <c r="L33" i="23"/>
  <c r="J33" i="23"/>
  <c r="N32" i="23"/>
  <c r="L32" i="23"/>
  <c r="J32" i="23"/>
  <c r="C19" i="22"/>
  <c r="D19" i="22"/>
  <c r="E19" i="22"/>
  <c r="F19" i="22"/>
  <c r="G19" i="22"/>
  <c r="H19" i="22"/>
  <c r="I19" i="22"/>
  <c r="C16" i="22"/>
  <c r="D16" i="22"/>
  <c r="E16" i="22"/>
  <c r="F16" i="22"/>
  <c r="G16" i="22"/>
  <c r="H16" i="22"/>
  <c r="I16" i="22"/>
  <c r="B16" i="22"/>
  <c r="C13" i="22"/>
  <c r="D13" i="22"/>
  <c r="E13" i="22"/>
  <c r="F13" i="22"/>
  <c r="G13" i="22"/>
  <c r="H13" i="22"/>
  <c r="I13" i="22"/>
  <c r="B13" i="22"/>
  <c r="Q58" i="10" l="1"/>
  <c r="Q40" i="10"/>
  <c r="Q46" i="10"/>
  <c r="Q42" i="10"/>
  <c r="Q35" i="10"/>
  <c r="Q36" i="10"/>
  <c r="Q47" i="10"/>
  <c r="Q41" i="10"/>
  <c r="Q37" i="10"/>
  <c r="C8" i="24"/>
  <c r="B8" i="24" s="1"/>
  <c r="P65" i="24"/>
  <c r="D12" i="24"/>
  <c r="E7" i="10"/>
  <c r="E10" i="10"/>
  <c r="M45" i="23"/>
  <c r="M44" i="23" s="1"/>
  <c r="O39" i="23"/>
  <c r="B7" i="24"/>
  <c r="B9" i="24"/>
  <c r="C13" i="24"/>
  <c r="C14" i="24"/>
  <c r="B14" i="24" s="1"/>
  <c r="C6" i="24"/>
  <c r="C10" i="24"/>
  <c r="K40" i="23"/>
  <c r="M47" i="23"/>
  <c r="O40" i="23"/>
  <c r="I53" i="23"/>
  <c r="I56" i="23"/>
  <c r="K55" i="23"/>
  <c r="K52" i="23"/>
  <c r="I48" i="23"/>
  <c r="M50" i="23"/>
  <c r="O51" i="23"/>
  <c r="I51" i="23" s="1"/>
  <c r="O47" i="23"/>
  <c r="K47" i="23"/>
  <c r="I36" i="23"/>
  <c r="K39" i="23"/>
  <c r="I42" i="23"/>
  <c r="O46" i="23"/>
  <c r="I46" i="23" s="1"/>
  <c r="M40" i="23"/>
  <c r="O45" i="23"/>
  <c r="I41" i="23"/>
  <c r="K45" i="23"/>
  <c r="K35" i="23"/>
  <c r="O35" i="23"/>
  <c r="M35" i="23"/>
  <c r="C5" i="24" l="1"/>
  <c r="E5" i="10"/>
  <c r="D5" i="24"/>
  <c r="M38" i="23"/>
  <c r="I39" i="23"/>
  <c r="I35" i="23"/>
  <c r="B10" i="24"/>
  <c r="K31" i="23"/>
  <c r="B6" i="24"/>
  <c r="B13" i="24"/>
  <c r="C12" i="24"/>
  <c r="B12" i="24" s="1"/>
  <c r="O44" i="23"/>
  <c r="K38" i="23"/>
  <c r="O50" i="23"/>
  <c r="O38" i="23"/>
  <c r="I47" i="23"/>
  <c r="K50" i="23"/>
  <c r="I50" i="23"/>
  <c r="I40" i="23"/>
  <c r="K44" i="23"/>
  <c r="I45" i="23"/>
  <c r="I44" i="23" s="1"/>
  <c r="D8" i="10"/>
  <c r="D9" i="10"/>
  <c r="C9" i="10"/>
  <c r="Q44" i="10"/>
  <c r="Q39" i="10"/>
  <c r="B5" i="24" l="1"/>
  <c r="D4" i="24"/>
  <c r="H4" i="10"/>
  <c r="E13" i="10"/>
  <c r="D13" i="10"/>
  <c r="I38" i="23"/>
  <c r="K68" i="23"/>
  <c r="I68" i="23" s="1"/>
  <c r="I65" i="23"/>
  <c r="C4" i="24"/>
  <c r="O31" i="23"/>
  <c r="M31" i="23"/>
  <c r="D7" i="10"/>
  <c r="D10" i="10"/>
  <c r="D6" i="10"/>
  <c r="B9" i="10"/>
  <c r="C8" i="10"/>
  <c r="B8" i="10" s="1"/>
  <c r="C7" i="10"/>
  <c r="B4" i="24" l="1"/>
  <c r="C10" i="10"/>
  <c r="B10" i="10" s="1"/>
  <c r="Q38" i="10"/>
  <c r="B7" i="10"/>
  <c r="D5" i="10"/>
  <c r="I69" i="23"/>
  <c r="K69" i="23"/>
  <c r="M52" i="23"/>
  <c r="O52" i="23"/>
  <c r="O55" i="23"/>
  <c r="Q43" i="10"/>
  <c r="I4" i="10" l="1"/>
  <c r="C13" i="10"/>
  <c r="B13" i="10" s="1"/>
  <c r="I52" i="23"/>
  <c r="I72" i="23"/>
  <c r="K72" i="23"/>
  <c r="M55" i="23"/>
  <c r="I55" i="23"/>
  <c r="E14" i="10"/>
  <c r="E12" i="10" l="1"/>
  <c r="E4" i="10" s="1"/>
  <c r="D14" i="10"/>
  <c r="D12" i="10" s="1"/>
  <c r="D4" i="10" s="1"/>
  <c r="Q45" i="10" l="1"/>
  <c r="K4" i="10" s="1"/>
  <c r="C14" i="10"/>
  <c r="B14" i="10" s="1"/>
  <c r="C6" i="10"/>
  <c r="B6" i="10" l="1"/>
  <c r="C5" i="10"/>
  <c r="B5" i="10" s="1"/>
  <c r="K64" i="23"/>
  <c r="C12" i="10"/>
  <c r="B12" i="10" s="1"/>
  <c r="I64" i="23" l="1"/>
  <c r="I31" i="23"/>
  <c r="I67" i="23"/>
  <c r="K67" i="23"/>
  <c r="G4" i="10"/>
  <c r="C4" i="10"/>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tc={C859FEF7-2CFA-4304-B757-1C34FEF29730}</author>
    <author>tc={80775F63-7DAC-4E87-AD8E-B48108134FDC}</author>
    <author>tc={7CFDBDEB-59D6-4052-85F1-E3E8DB97DDEB}</author>
    <author>tc={BA613397-725D-48DD-9760-7B2CB4C8D801}</author>
  </authors>
  <commentList>
    <comment ref="AA35" authorId="0" shapeId="0" xr:uid="{C859FEF7-2CFA-4304-B757-1C34FEF29730}">
      <text>
        <t>[Lõimkommentaar]
Teie Exceli versioon võimaldab teil seda lõimkommentaari lugeda, ent kõik sellesse tehtud muudatused eemaldatakse, kui fail avatakse Exceli uuemas versioonis. Lisateavet leiate siit: https://go.microsoft.com/fwlink/?linkid=870924.
Kommentaar:
    Vastavalt hankele ja prognoositavale väljamaksele lükkub enamus investeeringute eelarvest 2025.aastasse.</t>
      </text>
    </comment>
    <comment ref="AA36" authorId="1" shapeId="0" xr:uid="{80775F63-7DAC-4E87-AD8E-B48108134FDC}">
      <text>
        <t>[Lõimkommentaar]
Teie Exceli versioon võimaldab teil seda lõimkommentaari lugeda, ent kõik sellesse tehtud muudatused eemaldatakse, kui fail avatakse Exceli uuemas versioonis. Lisateavet leiate siit: https://go.microsoft.com/fwlink/?linkid=870924.
Kommentaar:
    Osa tegevusi lükkus 2023.a 2024.aastasse</t>
      </text>
    </comment>
    <comment ref="AC38" authorId="2" shapeId="0" xr:uid="{7CFDBDEB-59D6-4052-85F1-E3E8DB97DDEB}">
      <text>
        <t>[Lõimkommentaar]
Teie Exceli versioon võimaldab teil seda lõimkommentaari lugeda, ent kõik sellesse tehtud muudatused eemaldatakse, kui fail avatakse Exceli uuemas versioonis. Lisateavet leiate siit: https://go.microsoft.com/fwlink/?linkid=870924.
Kommentaar:
    Vastavalt hankes tehtud hinnapakkumusele vähendasime 2024.a väljamakset ja suurendasime 2025.a eelarvet.</t>
      </text>
    </comment>
    <comment ref="AC39" authorId="3" shapeId="0" xr:uid="{BA613397-725D-48DD-9760-7B2CB4C8D801}">
      <text>
        <t>[Lõimkommentaar]
Teie Exceli versioon võimaldab teil seda lõimkommentaari lugeda, ent kõik sellesse tehtud muudatused eemaldatakse, kui fail avatakse Exceli uuemas versioonis. Lisateavet leiate siit: https://go.microsoft.com/fwlink/?linkid=870924.
Kommentaar:
    Väljamakse tehakse 2024.a. Enne olid vahendid planeeritud 50 tuhande eurot ulatuses 2023.a.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tc={EBE4E929-34B9-4ABF-98E4-85EA6558C365}</author>
  </authors>
  <commentList>
    <comment ref="B10" authorId="0" shapeId="0" xr:uid="{EBE4E929-34B9-4ABF-98E4-85EA6558C365}">
      <text>
        <t>[Lõimkommentaar]
Teie Exceli versioon võimaldab teil seda lõimkommentaari lugeda, ent kõik sellesse tehtud muudatused eemaldatakse, kui fail avatakse Exceli uuemas versioonis. Lisateavet leiate siit: https://go.microsoft.com/fwlink/?linkid=870924.
Kommentaar:
    Testimise roll on asendatud süsteemianalüüsi rolliga enne oli palk 55 521 eur uus palk arvestatud 69900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Margo Keerme</author>
    <author>tc={CB39C611-1ABF-4ECF-AF4D-B67294C29457}</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 ref="B17" authorId="1" shapeId="0" xr:uid="{CB39C611-1ABF-4ECF-AF4D-B67294C29457}">
      <text>
        <t>[Lõimkommentaar]
Teie Exceli versioon võimaldab teil seda lõimkommentaari lugeda, ent kõik sellesse tehtud muudatused eemaldatakse, kui fail avatakse Exceli uuemas versioonis. Lisateavet leiate siit: https://go.microsoft.com/fwlink/?linkid=870924.
Kommentaar:
    RES 2025-2028</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<sst xmlns="http://schemas.openxmlformats.org/spreadsheetml/2006/main" count="1457" uniqueCount="533">
  <si>
    <t>Valdkondlik digipööre</t>
  </si>
  <si>
    <t xml:space="preserve">Elluviija: </t>
  </si>
  <si>
    <t>Rahandusministeerium</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</si>
  <si>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</si>
  <si>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</si>
  <si>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</si>
  <si>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</si>
  <si>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</si>
  <si>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</si>
  <si>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</si>
  <si>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</si>
  <si>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</si>
  <si>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</si>
  <si>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</si>
  <si>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</si>
  <si>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</si>
  <si>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</si>
  <si>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</si>
  <si>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</si>
  <si>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</si>
  <si>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</si>
  <si>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</si>
  <si>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</si>
  <si>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</si>
  <si>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</si>
  <si>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</si>
  <si>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</si>
  <si>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</si>
  <si>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</si>
  <si>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</si>
  <si>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</si>
  <si>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</si>
  <si>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</si>
  <si>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</si>
  <si>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</si>
  <si>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</si>
  <si>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</si>
  <si>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</si>
  <si>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1. Riigikassa kasutajad</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</si>
  <si>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</si>
  <si>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</si>
  <si>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</si>
  <si>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</si>
  <si>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 xml:space="preserve">1. E-ITS/ISO rakendamine VA saavutamaks asutuste teenustes ja protsessides vajalik turbetase </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</si>
  <si>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</si>
  <si>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</si>
  <si>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</si>
  <si>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</si>
  <si>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</si>
  <si>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</si>
  <si>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</si>
  <si>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 xml:space="preserve">1. Riigikassa rahulolu teenusega (1-10 skaalas);
 </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</si>
  <si>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</si>
  <si>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</si>
  <si>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</si>
  <si>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</si>
  <si>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</si>
  <si>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</si>
  <si>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</si>
  <si>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</si>
  <si>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</si>
  <si>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</si>
  <si>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</si>
  <si>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</si>
  <si>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</si>
  <si>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Otsus</t>
  </si>
  <si>
    <t>Valdkonna prioriteet</t>
  </si>
  <si>
    <t>Slaid/allikas</t>
  </si>
  <si>
    <t>Paneeli vajadus</t>
  </si>
  <si>
    <t>Rahastuse allikas</t>
  </si>
  <si>
    <t>Summa kokku</t>
  </si>
  <si>
    <r>
      <t xml:space="preserve">2023
</t>
    </r>
    <r>
      <rPr>
        <sz val="12"/>
        <color theme="1"/>
        <rFont val="Calibri"/>
        <family val="2"/>
        <charset val="186"/>
      </rPr>
      <t>(Kasutusse võetud vahendid, ehk kohustustega / lepingutega kaetud)</t>
    </r>
  </si>
  <si>
    <r>
      <t xml:space="preserve">Kalkulatsioon ja  allika põhjendus
</t>
    </r>
    <r>
      <rPr>
        <sz val="12"/>
        <color theme="1"/>
        <rFont val="Calibri"/>
        <family val="2"/>
        <charset val="186"/>
      </rPr>
      <t>Võimalusel kirjeldada siin lahtris, kui on põhjalikum tabeli kujul kalkulatsioon, siis see tuua välja eraldi Exceli lehel ja siin vastava rea lahtris sellele viidata.</t>
    </r>
  </si>
  <si>
    <t>Tegevuse jätkusuutlikkuse kulu</t>
  </si>
  <si>
    <t xml:space="preserve">Kommentaar
</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</si>
  <si>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</si>
  <si>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</si>
  <si>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</si>
  <si>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</si>
  <si>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</si>
  <si>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</si>
  <si>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</si>
  <si>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</si>
  <si>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</si>
  <si>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</si>
  <si>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</si>
  <si>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</si>
  <si>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ok- rahastada, nok- mitte rahastada, ?-otsus lahtine</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</si>
  <si>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</si>
  <si>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</si>
  <si>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</si>
  <si>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</si>
  <si>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</si>
  <si>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</si>
  <si>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</si>
  <si>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</si>
  <si>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</si>
  <si>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2"/>
        <rFont val="Calibri"/>
        <family val="2"/>
        <charset val="186"/>
      </rPr>
      <t>püsikulu</t>
    </r>
    <r>
      <rPr>
        <i/>
        <sz val="12"/>
        <rFont val="Calibri"/>
        <family val="2"/>
        <charset val="186"/>
      </rPr>
      <t xml:space="preserve">ga mis peab minema baasi, või on tegemist </t>
    </r>
    <r>
      <rPr>
        <b/>
        <i/>
        <sz val="12"/>
        <rFont val="Calibri"/>
        <family val="2"/>
        <charset val="186"/>
      </rPr>
      <t>ühekordse kulu</t>
    </r>
    <r>
      <rPr>
        <i/>
        <sz val="12"/>
        <rFont val="Calibri"/>
        <family val="2"/>
        <charset val="186"/>
      </rPr>
      <t>ga konkrteetse(te)l aasta(te)l.</t>
    </r>
  </si>
  <si>
    <t>RM</t>
  </si>
  <si>
    <t>RMIT</t>
  </si>
  <si>
    <t>RKO Marge Kaljas</t>
  </si>
  <si>
    <t>I: Digiriik</t>
  </si>
  <si>
    <t>1.2.7. Avaliku sektori digimuutuste võimendamine</t>
  </si>
  <si>
    <t>I: Infotehnoloogiliste lahenduste väljatöötamine ja arendamine</t>
  </si>
  <si>
    <t>Riigi arvelduste korraldamine ja rahavoogude juhtimine</t>
  </si>
  <si>
    <t xml:space="preserve">Teenuse toimimiseks vajalik riigikassa põhirakendus ja teenuste moodul on kirjutatud üle 10 aasta tagasi, mis toob kaasa suured küberriskid, (puuduvad turvauuendused). 
Riigi arvelduste teenuse (e-RK) katkemisel ei täida RaM:
Eelarve baasseadusest tulenevat kohustust teostada asutuste kassalist teenindamist (162 asutust); Koostöölepingutest tulenvaid kohustusi, mis on sõlmitud sihtasutustega (55 asutust) ja AS Pensionikeskusega
e-riigikassa teenuse seisakuga:
1)	Puudub võimalus edastada makseid pankadesse, nt:
•	MTA suuremahulised füüsilise isiku tulumaksu tagastused, tagasimakse periood on mitu kuud;
•	AS Pensionikeskuse igakuised II ja III samba ülekanded, st e-riigikassa teenindab pensioniregistrit;
•	Kinnipeetavate jooksvad ülekanded , s.t e-riigikassa teenindab läbi Tartu Vangla K-RAHA kinnipeetavate infosüsteemi;
•	Igakuised ülekanded KOV-dele toetusfondi, tasandusfondi, investeeringutoetuste näol;
•	Suuremahulised toetused, millede väljamaksjateks: PRIA, EAS, MES, KredEx jms.	
2)	Puudub võimalus saada informatsiooni laekumiste kohta, millega on seotud teiste asutuste infosüsteemid, kus jooksvalt kontrollitakse summade laekumisi (riigilõivud, trahvid, tulud jne) nt:
•	Transpordiameti lõivustatud teenused
•	PPA ID/Mobiil ID kaardi lõivustatud teenused jms. </t>
  </si>
  <si>
    <r>
      <rPr>
        <b/>
        <sz val="12"/>
        <rFont val="Calibri"/>
        <family val="2"/>
        <charset val="186"/>
      </rPr>
      <t>e-Riigikassa tehnilise platvormi uuendamine</t>
    </r>
    <r>
      <rPr>
        <sz val="12"/>
        <rFont val="Calibri"/>
        <family val="2"/>
        <charset val="186"/>
      </rPr>
      <t xml:space="preserve"> *</t>
    </r>
  </si>
  <si>
    <r>
      <rPr>
        <b/>
        <sz val="12"/>
        <rFont val="Calibri"/>
        <family val="2"/>
        <charset val="186"/>
      </rPr>
      <t>2024.a tulemus:</t>
    </r>
    <r>
      <rPr>
        <sz val="12"/>
        <rFont val="Calibri"/>
        <family val="2"/>
        <charset val="186"/>
      </rPr>
      <t xml:space="preserve"> 
1) Hankelepingu ettevalmistavad tööd; 2) hanke korraldamine; 3) lepingu sõlmimine; 4) toestatud maksete mooduli I etapi tööd. 
</t>
    </r>
    <r>
      <rPr>
        <b/>
        <sz val="12"/>
        <rFont val="Calibri"/>
        <family val="2"/>
        <charset val="186"/>
      </rPr>
      <t>2025.a tulemus:</t>
    </r>
    <r>
      <rPr>
        <sz val="12"/>
        <rFont val="Calibri"/>
        <family val="2"/>
        <charset val="186"/>
      </rPr>
      <t xml:space="preserve"> 
1) kasutajaliideses maksete moodul ümber kirjutatud Veera raamistikule; 2) väljavõtte moodul (sh selgitamata kanded, aasta ja päeva lõpetamine) moodul ümber kirjutatud Veera raamistikule; ajakulu andmete töötlemisel on kasutajatele vähenenud; 3) vähenenud oht turvaintsidentide tekkimiseks, sh e-riigikassa katkestustega seotud kulude tekkimise risk (aasta baasil u 1,6 mln); 4) eemaldatud mittekasutavad funktsionaalsused;  5) tehnilised lahendused realiseeritud; 6) arendused on turvatestitud. </t>
    </r>
  </si>
  <si>
    <t xml:space="preserve">ok </t>
  </si>
  <si>
    <t>DP 1</t>
  </si>
  <si>
    <t>31-37</t>
  </si>
  <si>
    <t>Pole vajadust</t>
  </si>
  <si>
    <t>SF 21-27 (taotletav raha)</t>
  </si>
  <si>
    <t xml:space="preserve">Aluseks võetud tunnihind ca 65,00 (KM-ta).
Aluseks võetud hankes esitatud töömahtude prognoos: 1) maksete moodul u 4800 h; 2) konto väljavõtte, selgitamata kannete, päeva ja aasta lõpetamise moodulid u 2520 h; 3) ettevalmistustööd 
(arhitektuuri täpsustamine, andmete migreerimise plaan jne), tehnilised uuendused  u 1400 h.
Lisaks on arvestatud turvatestimistega. </t>
  </si>
  <si>
    <t>3. Tegevus, mis vajab jätkusuutlikkuse kulusid ja need on eraldi real välja toodud</t>
  </si>
  <si>
    <t>RAHANDUS Digipööre - pikendamine
Tegelik projekti hind kujuneb uue hanke pakkumuse raames ca juunis alguses hange on käimas. Jätkusuutlik kulu on seotud reaga 47.</t>
  </si>
  <si>
    <t>EPO Timo Tarkmees</t>
  </si>
  <si>
    <t>Strateegilise planeerimise ja finantsjuhtimise raamistiku kujundamine
Riigi arvelduste korraldamine ja rahavoogude juhtimine</t>
  </si>
  <si>
    <t xml:space="preserve">Riigi rahanduse valdkonna süsteemide uuele tasemele viimiseks puuduvad piisavad võimekused:
•Keskse, riigiülese infotehnoloogilise lahenduse puudumine, mis toetaks tegevuspõhise riigieelarve planeerimise, täitmise jälgimise, aruandluse ning kulu- ja juhtimisarvestusega seotud tegevusi ja piisav meeskonna võimekus
•Riigi arvelduste korraldamiseks ja  rahavoogude juhtimiseks vajalik kriitiline infosüsteem e-Riigikassa arendusteks puudub piisav meeskonna võimekus. </t>
  </si>
  <si>
    <r>
      <rPr>
        <b/>
        <sz val="12"/>
        <rFont val="Calibri"/>
        <family val="2"/>
        <charset val="186"/>
      </rPr>
      <t>Rahanduse tiimi võimekuse suurendamine:</t>
    </r>
    <r>
      <rPr>
        <sz val="12"/>
        <rFont val="Calibri"/>
        <family val="2"/>
        <charset val="186"/>
      </rPr>
      <t xml:space="preserve">
Eesti Vabariigi Riigieelarve Infosüsteemi (ERIS) loomiseks meeskondade võimestamine **
 e-Riigikassa tehnilise meeskondade võimestamiseks</t>
    </r>
  </si>
  <si>
    <t>ok</t>
  </si>
  <si>
    <t>Vajalik äri-, andme ja arhitektuuripaneel</t>
  </si>
  <si>
    <t>Analüüs:
- Sisse otsetava teenusena 2 süsteemianalüütikut kokku 110 000 eurot. 
Peamised analüütikutel oodatavad tulemid on süsteemi- ja andmearhitektuuri nägemuste kirjeldamine koostöös RMIT süsteemi- ja andmearhitektidega vastavalt TOGAF metoodikaraamistikule.
Personalikulud ja vajaminev personal on eraldi personali lehel välja toodud.
Tootejuhtimine 
e-Riigikassa arenduste vajadused on real 35. riigirahanduse meeskond toetab aendusi.</t>
  </si>
  <si>
    <t>RAHANDUS Digipööre - pikendamine. Tegemist on digipöörde elluviimiseks vajalike kriitiliste uute võimekuste loomisega. Seega eespool toodud veeru valikus ei olnud sobivat. Investeering on ühekordne ja jätkusuutlikku kulu ei vaja, kuid meeskonna osas on vajalik jätkusuutlikkuse kulu peale digipöörde lõppu tagada.</t>
  </si>
  <si>
    <t>Strateegilise planeerimise ja finantsjuhtimise raamistiku kujundamine</t>
  </si>
  <si>
    <t>Keskse, riigiülese infotehnoloogilise lahenduse puudumine, mis toetaks tegevuspõhise riigieelarve planeerimise, täitmise jälgimise, aruandluse ning kulu- ja juhtimisarvestusega seotud tegevusi. Puudub osaliselt meeskonna võimekus.</t>
  </si>
  <si>
    <t>Eesti Vabariigi Riigieelarve Infosüsteemi (ERIS) loomine</t>
  </si>
  <si>
    <r>
      <rPr>
        <b/>
        <sz val="12"/>
        <rFont val="Calibri"/>
        <family val="2"/>
        <charset val="186"/>
      </rPr>
      <t>2023. a tulemus</t>
    </r>
    <r>
      <rPr>
        <sz val="12"/>
        <rFont val="Calibri"/>
        <family val="2"/>
        <charset val="186"/>
      </rPr>
      <t xml:space="preserve">: 
Värvatud RM IKT ärianalüütik III, kes panustab (RaM ja RMIT poolt tehtavasse) eelanalüüsi faasi jms tööd, mis on vajaliku arendushanke ettevalmistamiseks.
Ostetud sisse konsultatsiooniteenust, mille eesmärgiks on nõustada äripoolt ERIS projekti ärinõuete kokkupanekul ja lahenduse välja töötamisel.
</t>
    </r>
    <r>
      <rPr>
        <b/>
        <sz val="12"/>
        <rFont val="Calibri"/>
        <family val="2"/>
        <charset val="186"/>
      </rPr>
      <t xml:space="preserve">2024. a tulemus:
</t>
    </r>
    <r>
      <rPr>
        <sz val="12"/>
        <rFont val="Calibri"/>
        <family val="2"/>
        <charset val="186"/>
      </rPr>
      <t xml:space="preserve"> Värvatud RM IKT ärianalüütik III, kes panustab (RaM ja RMIT poolt tehtavasse) eelanalüüsi faasi jms tööd, mis on vajaliku arendushanke ettevalmistamiseks.
Ostetud sisse konsultatsiooniteenust, mille eesmärgiks on nõustada äripoolt ERIS projekti ärinõuete kokkupanekul ja lahenduse välja töötamisel.
</t>
    </r>
    <r>
      <rPr>
        <b/>
        <sz val="12"/>
        <rFont val="Calibri"/>
        <family val="2"/>
        <charset val="186"/>
      </rPr>
      <t>2025.a</t>
    </r>
    <r>
      <rPr>
        <sz val="12"/>
        <rFont val="Calibri"/>
        <family val="2"/>
        <charset val="186"/>
      </rPr>
      <t>:
 värvatud RM IKT ärianalüütik III panustab realiseerise faasis detailanalüüsiga seotud töödesse</t>
    </r>
  </si>
  <si>
    <t>2023: RM IKT ärianalüütik III 38 411 (7 kuud).
Konsultatasiooniteenus 13 380 eurot (4 kuud)
2024: RM IKT ärianalüütik III 70 457 (12 kuud).</t>
  </si>
  <si>
    <t>RAHANDUS Digipööre - pikendamine. Tegemist on digipöörde elluviimiseks vajalike kriitiliste uute võimekuste loomisega. Seega eespool toodud veeru valikus ei olnud sobivat. Meeskonna osas on vajalik jätkusuutlikkuse kulu peale digipöörde lõppu tagada.</t>
  </si>
  <si>
    <t>FAO</t>
  </si>
  <si>
    <t xml:space="preserve">III: Küberturvalisus </t>
  </si>
  <si>
    <t>3.3. Suurem küberturvalisuse tagamise võimekus</t>
  </si>
  <si>
    <t>II: küberruumi hoidmine, arendamine ja juurutamine usaldusväärse ja turvalisena</t>
  </si>
  <si>
    <t>Kõik RM ja RTK teenused</t>
  </si>
  <si>
    <t>E-ITS on rakendamata RMs ja RTKs</t>
  </si>
  <si>
    <t>Üleminek E-ITS-le (ettevalmistav kaardistus ja analüüs ja auditid) RM-is ja RTK-s</t>
  </si>
  <si>
    <r>
      <rPr>
        <b/>
        <sz val="12"/>
        <rFont val="Calibri"/>
        <family val="2"/>
        <charset val="186"/>
      </rPr>
      <t>2024. a tulemus:</t>
    </r>
    <r>
      <rPr>
        <sz val="12"/>
        <rFont val="Calibri"/>
        <family val="2"/>
        <charset val="186"/>
      </rPr>
      <t xml:space="preserve"> 
E-ITS rakendamiseks vajalike tööde läbiviimiseks hangitakse E-ITS rakendamise konsultatsiooniteenus. Hankelepingu täitmise tulemusena valmib E-ITS infoturvameetmete rakendamise plaan (IMR) ning täidetakse asutustes ülejäänud vajalikud eeldused E-ITS eel- ja põhiauditi läbimiseks. Hankelepinguga kaetakse tegevused sarnaselt nii RAM-is kui ka RTK-s.
</t>
    </r>
    <r>
      <rPr>
        <b/>
        <sz val="12"/>
        <rFont val="Calibri"/>
        <family val="2"/>
        <charset val="186"/>
      </rPr>
      <t>2025. a tulemus:</t>
    </r>
    <r>
      <rPr>
        <sz val="12"/>
        <rFont val="Calibri"/>
        <family val="2"/>
        <charset val="186"/>
      </rPr>
      <t xml:space="preserve"> Jätkatakse töid 2024.a sõlmitud lepingu alusel. Eraldi hangitakse teenus (audiitor) E-ITS 3.a audititsükli täitmiseks ning aasta lõpuks viiakse läbi E-ITS eel- ja põhiaudit.
Tegevused viiakse läbi sarnaselt nii RAM-is kui ka RTK-s.
</t>
    </r>
    <r>
      <rPr>
        <b/>
        <sz val="12"/>
        <rFont val="Calibri"/>
        <family val="2"/>
        <charset val="186"/>
      </rPr>
      <t>2026. a tulemus:</t>
    </r>
    <r>
      <rPr>
        <sz val="12"/>
        <rFont val="Calibri"/>
        <family val="2"/>
        <charset val="186"/>
      </rPr>
      <t xml:space="preserve"> 2025.a kokkulepitud 3a audititsükli sees tellitakse audiitorilt E-ITS vaheaudit nii RAM-is kui ka RTK-s.
</t>
    </r>
    <r>
      <rPr>
        <b/>
        <sz val="12"/>
        <rFont val="Calibri"/>
        <family val="2"/>
        <charset val="186"/>
      </rPr>
      <t>2027. a tulemus</t>
    </r>
    <r>
      <rPr>
        <sz val="12"/>
        <rFont val="Calibri"/>
        <family val="2"/>
        <charset val="186"/>
      </rPr>
      <t>: 2025.a kokkulepitud 3a audititsükli sees tellitakse audiitorilt E-ITS vaheaudit nii RAM-is kui ka RTK-s.</t>
    </r>
  </si>
  <si>
    <t>50-54</t>
  </si>
  <si>
    <t>Teenus ostetakse sisse: Olemasoleva olukorra ja kehtiva riskianalüüsi üle vaatamine ja täiendamine ning teenuste ning äriprotsesside kaardistus ja analüüs; kaitseala piiritlemine jms; äriprotsesside ja teabe esmase 
kaitsetarbe täpsustamine ja sihtobjektide kaitsetarbe määramine; (org)moodulis olevate ohtude nimekirja alusel sihtobjektide vastendamine Moodulite rakendamise prioriteetide määramine jms. Eksperdi tunnihind on ca 100 eurot.</t>
  </si>
  <si>
    <t>RAHANDUS Digipööre - pikendamine
Tegemist on digipöördest võimestamist toetava tegevusega</t>
  </si>
  <si>
    <t>MTA</t>
  </si>
  <si>
    <t>SKO</t>
  </si>
  <si>
    <t>Kõik MTA teenused</t>
  </si>
  <si>
    <t>ISO/IEC 27001 nõuetele vastav infoturbe halduse süsteem on rakendamata. ISKE on MTA’s auditeeritud 2022 koondhinnanguga, et ISKE on rakendatud, auditeeritud väheolulise märkusega. Lahknevusi, mis põhjustaks keskmise või kõrge tasemega riske, auditeerimisel ei tuvastatud.</t>
  </si>
  <si>
    <r>
      <t>ISO/IEC 27001 põhise infoturbejuhtimissüsteemile ülemineku algatamine</t>
    </r>
    <r>
      <rPr>
        <sz val="12"/>
        <rFont val="Calibri"/>
        <family val="2"/>
        <charset val="186"/>
      </rPr>
      <t xml:space="preserve">, korraldamine ja teostamine (sh käigushoid) </t>
    </r>
    <r>
      <rPr>
        <b/>
        <sz val="12"/>
        <rFont val="Calibri"/>
        <family val="2"/>
        <charset val="186"/>
      </rPr>
      <t>MTA</t>
    </r>
  </si>
  <si>
    <r>
      <rPr>
        <b/>
        <sz val="12"/>
        <rFont val="Calibri"/>
        <family val="2"/>
        <charset val="186"/>
      </rPr>
      <t>2023.a tulemus:</t>
    </r>
    <r>
      <rPr>
        <sz val="12"/>
        <rFont val="Calibri"/>
        <family val="2"/>
        <charset val="186"/>
      </rPr>
      <t xml:space="preserve"> Ette on valmistatud hange ISO/IEC 27001 rakendamiseks ja selleks vajalike eeldokumentide väljatöötamiseks, kaitsetarbe määramiseks äriprotsessidele ja sihtobjektide kaitsetarbe üle vaatamiseks jms vajalikud tegevused. 
</t>
    </r>
    <r>
      <rPr>
        <b/>
        <sz val="12"/>
        <rFont val="Calibri"/>
        <family val="2"/>
        <charset val="186"/>
      </rPr>
      <t xml:space="preserve">2024. a tulemus: </t>
    </r>
    <r>
      <rPr>
        <sz val="12"/>
        <rFont val="Calibri"/>
        <family val="2"/>
        <charset val="186"/>
      </rPr>
      <t xml:space="preserve">ISO/IEC 27001 rakendamiseks vajalike tööde läbiviimine ja tulemuste valideerimine. Lõpptulemuseks on ettevalmistatud dokumentatsioon ja tegevused eelauditi tellimiseks.
</t>
    </r>
    <r>
      <rPr>
        <b/>
        <sz val="12"/>
        <rFont val="Calibri"/>
        <family val="2"/>
        <charset val="186"/>
      </rPr>
      <t>2025. a tulemus:</t>
    </r>
    <r>
      <rPr>
        <sz val="12"/>
        <rFont val="Calibri"/>
        <family val="2"/>
        <charset val="186"/>
      </rPr>
      <t xml:space="preserve"> Tegevused eel- ja põhiauditi tellimine. Infoturbe käigushoid.
</t>
    </r>
    <r>
      <rPr>
        <b/>
        <sz val="12"/>
        <rFont val="Calibri"/>
        <family val="2"/>
        <charset val="186"/>
      </rPr>
      <t>2026. a tulemus: A</t>
    </r>
    <r>
      <rPr>
        <sz val="12"/>
        <rFont val="Calibri"/>
        <family val="2"/>
        <charset val="186"/>
      </rPr>
      <t xml:space="preserve">uditi käigus saadud soovituste rakendamine ning infoturbesüsteemi käigushoidmine ja parendustegevused
</t>
    </r>
    <r>
      <rPr>
        <b/>
        <sz val="12"/>
        <rFont val="Calibri"/>
        <family val="2"/>
        <charset val="186"/>
      </rPr>
      <t xml:space="preserve">2027.a tulemus: </t>
    </r>
    <r>
      <rPr>
        <sz val="12"/>
        <rFont val="Calibri"/>
        <family val="2"/>
        <charset val="186"/>
      </rPr>
      <t xml:space="preserve">Plaanilist auditeerimist ettevalmistavad tegevused sh eelauditi läbiviimine ja sellest tulenevad parendustegevused.
</t>
    </r>
  </si>
  <si>
    <t>Teenus ostetakse sisse ja võimestatakse olemasolevate spetsialistidega standardi kasutuselevõttu ja käigushoidmist: küberturvalisuse seaduse §-id 7
ja 8 nõuetele vastavusse viimine ning ISO/IEC 27001 nõuetele vastav infoturbe halduse süsteemi rakendamiseks vajalikud tegevused sh. olemasoleva infoturbehaldussüsteemi ja olukorra ning riskianalüüsi üle vaatamine ja täiendamine ning teenuste ning äriprotsesside kaardistus ja analüüs. Tunnihinne ca 100 eur eksperdi tunnihind. Teostamise ja käigushoidmise eelarve on koostatud lähtuvalt eelanalüüside ning hangete läbiviimisest.</t>
  </si>
  <si>
    <t>RAB</t>
  </si>
  <si>
    <t>Kõik RAB teenused</t>
  </si>
  <si>
    <t>ISO/IEC 27001 või E-ITS infoturbestandardi nõuetele vastav infoturbe halduse süsteem on rakendamata. 2022.a läbiviidud ISKE auditi raport andis hinnangu, et  ISKE on rakendatud, kuid audiitor lisas mõningad märkused ja soovitused.</t>
  </si>
  <si>
    <t>Üleminek E-ITS-le (ettevalmistav kaardistus, analüüs ja auditid) RAB-is</t>
  </si>
  <si>
    <r>
      <rPr>
        <b/>
        <sz val="12"/>
        <rFont val="Calibri"/>
        <family val="2"/>
        <charset val="186"/>
      </rPr>
      <t>2023.a tulemus:</t>
    </r>
    <r>
      <rPr>
        <sz val="12"/>
        <rFont val="Calibri"/>
        <family val="2"/>
        <charset val="186"/>
      </rPr>
      <t xml:space="preserve"> Ette on valmistatud E-ITS rakendamise üldine plaan ja hankekirjeldus E-ITS rakendamiseks vajalike (eel) dokumentide väljatöötamiseks, kaitsetarbe määramiseks äriprotsessidele ja sihtobjektide kaitsetarbe üle vaatamiseks jms vajalikud tegevused. 
</t>
    </r>
    <r>
      <rPr>
        <b/>
        <sz val="12"/>
        <rFont val="Calibri"/>
        <family val="2"/>
        <charset val="186"/>
      </rPr>
      <t xml:space="preserve">2024. a tulemus: </t>
    </r>
    <r>
      <rPr>
        <sz val="12"/>
        <rFont val="Calibri"/>
        <family val="2"/>
        <charset val="186"/>
      </rPr>
      <t xml:space="preserve">Hanke väljakuulutamine ja hankekirjelduse alusel E-ITS rakendamiseks vajalike tööde läbiviimine ja tulemuste valideerimine. Lõpptulemuseks on ettevalmistatud dokumentatsioon ja tegevused E-ITS eelauditi tellimiseks.
</t>
    </r>
    <r>
      <rPr>
        <b/>
        <sz val="12"/>
        <rFont val="Calibri"/>
        <family val="2"/>
        <charset val="186"/>
      </rPr>
      <t xml:space="preserve">2025. a tulemus: </t>
    </r>
    <r>
      <rPr>
        <sz val="12"/>
        <rFont val="Calibri"/>
        <family val="2"/>
        <charset val="186"/>
      </rPr>
      <t xml:space="preserve">Hanked E-ITS eel- ja põhiauditi läbiviimiseks. E-ITS rakendamise põhiauditi aruanne on üle antud.  
</t>
    </r>
    <r>
      <rPr>
        <b/>
        <sz val="12"/>
        <rFont val="Calibri"/>
        <family val="2"/>
        <charset val="186"/>
      </rPr>
      <t xml:space="preserve">2026. a tulemus: </t>
    </r>
    <r>
      <rPr>
        <sz val="12"/>
        <rFont val="Calibri"/>
        <family val="2"/>
        <charset val="186"/>
      </rPr>
      <t xml:space="preserve">Soovituste rakendamine.
</t>
    </r>
    <r>
      <rPr>
        <b/>
        <sz val="12"/>
        <rFont val="Calibri"/>
        <family val="2"/>
        <charset val="186"/>
      </rPr>
      <t>2027. a tulemus:</t>
    </r>
    <r>
      <rPr>
        <sz val="12"/>
        <rFont val="Calibri"/>
        <family val="2"/>
        <charset val="186"/>
      </rPr>
      <t xml:space="preserve"> Infoturbe käigushoid ja täiustamine, vaheaudit.</t>
    </r>
  </si>
  <si>
    <t>Teenus ostetakse sisse: KüTS-i vastavusse viimine ning ISO 27001 või E-ITS nõuetele vastava infoturbe halduse süsteemi rakendamiseks vajalikud tegevused sh. olemasoleva infoturbehaldussüsteemi ja olukorra ning riskianalüüsi üle vaatamine ja täiendamine ning teenuste ning äriprotsesside kaardistus ja analüüs. Töö hind tuleneb infoturbeeksperdi töötunnihinnast ca 100 EUR/h. Teostamise ja käigushoidmise eelarve on koostatud lähtuvalt eelanalüüside ning hangete läbiviimisest.</t>
  </si>
  <si>
    <t>Kõik RMIT teenused</t>
  </si>
  <si>
    <t>ISO/IEC 27001 nõuetele vastav infoturbe halduse süsteem on rakendamata. E-ITS/ISO sertifitseerimiseks vajalikud kulud</t>
  </si>
  <si>
    <r>
      <rPr>
        <b/>
        <sz val="12"/>
        <rFont val="Calibri"/>
        <family val="2"/>
        <charset val="186"/>
      </rPr>
      <t>ISO 27001 põhise infoturbejuhtimissüsteemile ülemineku algatamine</t>
    </r>
    <r>
      <rPr>
        <sz val="12"/>
        <rFont val="Calibri"/>
        <family val="2"/>
        <charset val="186"/>
      </rPr>
      <t>, korraldamine ja teostamine (sh käigushoid) RMIT-is</t>
    </r>
  </si>
  <si>
    <t>Teenust ostetakse sisse: KüTS-i vastavusse viimine ning ISO 27001 või E-ITS nõuetele vastava infoturbe halduse süsteemi rakendamiseks vajalikud tegevused sh. olemasoleva infoturbehaldussüsteemi ja olukorra ning riskianalüüsi üle vaatamine ja täiendamine ning teenuste ning äriprotsesside kaardistus ja analüüs.</t>
  </si>
  <si>
    <t>Kõik RM teenused</t>
  </si>
  <si>
    <t>Rahandusministeeriumis on seni puudu infoturbejuht.</t>
  </si>
  <si>
    <r>
      <rPr>
        <b/>
        <sz val="12"/>
        <rFont val="Calibri"/>
        <family val="2"/>
        <charset val="186"/>
      </rPr>
      <t xml:space="preserve">Infoturbe valdkonna võimekuse suurendamine RAMis </t>
    </r>
    <r>
      <rPr>
        <sz val="12"/>
        <rFont val="Calibri"/>
        <family val="2"/>
        <charset val="186"/>
      </rPr>
      <t>(infoturbejuhi värbamine)</t>
    </r>
  </si>
  <si>
    <t>IKT andmeturve IV</t>
  </si>
  <si>
    <t>RTK</t>
  </si>
  <si>
    <t>Kõik RTK teenused</t>
  </si>
  <si>
    <t>RTK-s on seni puudu infoturbejuht.</t>
  </si>
  <si>
    <r>
      <rPr>
        <b/>
        <sz val="12"/>
        <rFont val="Calibri"/>
        <family val="2"/>
        <charset val="186"/>
      </rPr>
      <t xml:space="preserve">Infoturbe valdkonna võimekuse suurendamine RTKs </t>
    </r>
    <r>
      <rPr>
        <sz val="12"/>
        <rFont val="Calibri"/>
        <family val="2"/>
        <charset val="186"/>
      </rPr>
      <t>(infoturbejuhi värbamine)</t>
    </r>
  </si>
  <si>
    <r>
      <rPr>
        <b/>
        <sz val="12"/>
        <rFont val="Calibri"/>
        <family val="2"/>
        <charset val="186"/>
      </rPr>
      <t>2023.a</t>
    </r>
    <r>
      <rPr>
        <sz val="12"/>
        <rFont val="Calibri"/>
        <family val="2"/>
        <charset val="186"/>
      </rPr>
      <t xml:space="preserve"> tulemus: -
2024.a tulemus: RTK-sse infoturbespetsialist on värvatud
RTK E-ITS rakendamise eeltegevused. RTK infoturbe juhtimise süsteemi väljatöötamine. RTK töötajate koolitamine
</t>
    </r>
    <r>
      <rPr>
        <b/>
        <sz val="12"/>
        <rFont val="Calibri"/>
        <family val="2"/>
        <charset val="186"/>
      </rPr>
      <t>2025:</t>
    </r>
    <r>
      <rPr>
        <sz val="12"/>
        <rFont val="Calibri"/>
        <family val="2"/>
        <charset val="186"/>
      </rPr>
      <t xml:space="preserve"> RTK- E-ITS eelauditi ja täisauditi läbiviimine. RTK infoturbe juhtimise süsteemi rakendamine/täiendamine. RTK töötajate koolitamine
</t>
    </r>
    <r>
      <rPr>
        <b/>
        <sz val="12"/>
        <rFont val="Calibri"/>
        <family val="2"/>
        <charset val="186"/>
      </rPr>
      <t>2026</t>
    </r>
    <r>
      <rPr>
        <sz val="12"/>
        <rFont val="Calibri"/>
        <family val="2"/>
        <charset val="186"/>
      </rPr>
      <t>: RTK infoturbe juhtimise süsteemi rakendamine/täiendamine. RTK töötajate koolitamine</t>
    </r>
  </si>
  <si>
    <t>IKT andmeturve III</t>
  </si>
  <si>
    <t>IV: muu digipöördega seotud otsene kulu</t>
  </si>
  <si>
    <t xml:space="preserve">1.	Rahandusministeeriumi teenuste ja protsesside süsteemseks juhtimiseks puudub ressurss. Täiendavalt on vajalik saada ülevaade ja analüüsida teenuseid nii RaM kui ka RMV üleselt ja kokku leppida mõõdikud teenuste mõõtmiseks ja paremaks juhtimiseks, teostada riskijuhtimist jms.  
2.	Rahandusministeeriumis puudub andmevaldkonda juhtiv ja arendav struktuuriüksus. Puudu on valitsemisala keskne teabehalduse korraldamine ja analüüsimine. Ministeeriumi andmehaldus on puudulikult korraldatud ja vajab täiendavat spetsialisti. 
3.	RaM teenuste arendamine toimub hoogtöö korras mahukate analüüside 
läbiviimisel. Hilisemas toote arendusprotsessis jääb puudu ressursist ja kompetentsist klientide vajaduste paremaks defineerimiseks arendustööde tellimisel. 
4.	RAM puudub võimekus digipöörete elluviimisega kaasnevate protsesside juhtimiseks </t>
  </si>
  <si>
    <r>
      <rPr>
        <b/>
        <sz val="12"/>
        <rFont val="Calibri"/>
        <family val="2"/>
        <charset val="186"/>
      </rPr>
      <t xml:space="preserve">Kesksete võimekuste suurendamine: </t>
    </r>
    <r>
      <rPr>
        <sz val="12"/>
        <rFont val="Calibri"/>
        <family val="2"/>
        <charset val="186"/>
      </rPr>
      <t xml:space="preserve">
1. Äriarhitektuuri võimekuse suurendamine RaM-is  
(äriarhitekti värbamine); 
2. Andmehalduse rakendamise võimekuse loomine RAMi 
(andmehaldusjuhi värbamine); 
3. Teenusejuhtimise võimekuse suurendamine (teenusedisaineri värbamine RaMi). 
4. Projektijuhtimise võimekuse suurendamine digipöörde tegevuskava elluviimisel.</t>
    </r>
  </si>
  <si>
    <r>
      <rPr>
        <b/>
        <sz val="12"/>
        <rFont val="Calibri"/>
        <family val="2"/>
        <charset val="186"/>
      </rPr>
      <t xml:space="preserve">2023.a tulemus: </t>
    </r>
    <r>
      <rPr>
        <sz val="12"/>
        <rFont val="Calibri"/>
        <family val="2"/>
        <charset val="186"/>
      </rPr>
      <t xml:space="preserve">
1. Äriarhitekt on palgatud. 
1. Teenusedisainer on palgatud ja esmane kaardistus on aasta lõpuks olemas.
2. Projektijuht on palgatud.
</t>
    </r>
    <r>
      <rPr>
        <b/>
        <sz val="12"/>
        <rFont val="Calibri"/>
        <family val="2"/>
        <charset val="186"/>
      </rPr>
      <t xml:space="preserve">2024.a tulemus: </t>
    </r>
    <r>
      <rPr>
        <sz val="12"/>
        <rFont val="Calibri"/>
        <family val="2"/>
        <charset val="186"/>
      </rPr>
      <t xml:space="preserve">
1. Teenusejuhtimise võimekuse suurendamine (teenusedisaineri värbamine RaMi)
2. Projektijuht: RMV valdkonna digipöörde projekti on juhitud.
</t>
    </r>
    <r>
      <rPr>
        <b/>
        <sz val="12"/>
        <rFont val="Calibri"/>
        <family val="2"/>
        <charset val="186"/>
      </rPr>
      <t>2025.a tulemus:</t>
    </r>
    <r>
      <rPr>
        <sz val="12"/>
        <rFont val="Calibri"/>
        <family val="2"/>
        <charset val="186"/>
      </rPr>
      <t xml:space="preserve"> 
1. Teenuste juhtimise võimekus: 
2. Projektijuht: RMV valdkonna digipööre on juhitud.</t>
    </r>
  </si>
  <si>
    <t xml:space="preserve">IKT- ärianalüüs IV, Andmeanalüüs IV , Ärianalüüs III
2023. a värvatakse alates oktoober, projektijuhtimine
</t>
  </si>
  <si>
    <t>RTK teenuste ja protsesside süsteemseks juhtimiseks puudub ressurss.</t>
  </si>
  <si>
    <r>
      <rPr>
        <b/>
        <sz val="12"/>
        <rFont val="Calibri"/>
        <family val="2"/>
        <charset val="186"/>
      </rPr>
      <t>Äriarhitektuuri võimekuse suurendamine RTKs</t>
    </r>
    <r>
      <rPr>
        <sz val="12"/>
        <rFont val="Calibri"/>
        <family val="2"/>
        <charset val="186"/>
      </rPr>
      <t xml:space="preserve"> (äriarhitekti värbamine).</t>
    </r>
  </si>
  <si>
    <r>
      <rPr>
        <b/>
        <sz val="12"/>
        <rFont val="Calibri"/>
        <family val="2"/>
        <charset val="186"/>
      </rPr>
      <t>2023.a</t>
    </r>
    <r>
      <rPr>
        <sz val="12"/>
        <rFont val="Calibri"/>
        <family val="2"/>
        <charset val="186"/>
      </rPr>
      <t xml:space="preserve"> tulemus: -
</t>
    </r>
    <r>
      <rPr>
        <b/>
        <sz val="12"/>
        <rFont val="Calibri"/>
        <family val="2"/>
        <charset val="186"/>
      </rPr>
      <t xml:space="preserve">2024: </t>
    </r>
    <r>
      <rPr>
        <sz val="12"/>
        <rFont val="Calibri"/>
        <family val="2"/>
        <charset val="186"/>
      </rPr>
      <t xml:space="preserve">Äriarhitekt on värvatud. Olemas on esmane hinnang RTK äriarhitektuuri küpsusele ja koostatud on edasine tegevuskava. RTK töötajad teavad, mis on äriarhitektuur ja mida võib oodata RTK äriarhitektilt. Majandustarkvara uuendamise projekti puhul rakendatakse algusest peale äriarhitektuuri lähenemist. Välja on töötatud organisatsiooni erinevaid teenuseid ja protsesse hõlmav terviklahenduste kontseptsioon ja analüüsitud vähemalt kolme võimalikku terviklahendust.
</t>
    </r>
    <r>
      <rPr>
        <b/>
        <sz val="12"/>
        <rFont val="Calibri"/>
        <family val="2"/>
        <charset val="186"/>
      </rPr>
      <t>2025:</t>
    </r>
    <r>
      <rPr>
        <sz val="12"/>
        <rFont val="Calibri"/>
        <family val="2"/>
        <charset val="186"/>
      </rPr>
      <t xml:space="preserve"> Tegevused vastavalt koostatud tegevuskavale – tervikliku ärivaate hoidmine ja arendamine, nt protsesside ja infosüsteemide arenduste planeerimisel organisatsiooni üleselt ühtse metoodika rakendamine (selle juurutamine), uute tehnoloogiliste lahenduste kasutuselevõtu toetamine jne.</t>
    </r>
  </si>
  <si>
    <t>IKT - ärianalüüs III</t>
  </si>
  <si>
    <t>Marek Mägi</t>
  </si>
  <si>
    <t>1.2.2. Andmepõhine riigivalitsemine ja andmete taaskasutus</t>
  </si>
  <si>
    <t>Andmeladu</t>
  </si>
  <si>
    <t>Kõigis RMV asutustes on aktiivne prioriteetne andmeanalüütika ja\või andmelao, -järve projekt, mis eeldab toetava tehnilise kompetentsi loomist RMIT-i.</t>
  </si>
  <si>
    <r>
      <rPr>
        <b/>
        <sz val="12"/>
        <rFont val="Calibri"/>
        <family val="2"/>
        <charset val="186"/>
      </rPr>
      <t>RMV Andmeladude tehnilise baasvõimekuse loomine</t>
    </r>
    <r>
      <rPr>
        <sz val="12"/>
        <rFont val="Calibri"/>
        <family val="2"/>
        <charset val="186"/>
      </rPr>
      <t xml:space="preserve"> (andmelaoarhitektide värbamine RMITi), mis tagab lahenduste (tehnilise) kvaliteedi - kuluefektiivsuse, automatiseerituse, kaasaegsuse, hallatavuse, turvalisuse ja tehnilise jätkusuutlikkuse ning võimaldab standardiseerida ja taaskasutada sarnased lahendused.</t>
    </r>
  </si>
  <si>
    <r>
      <rPr>
        <b/>
        <sz val="12"/>
        <rFont val="Calibri"/>
        <family val="2"/>
        <charset val="186"/>
      </rPr>
      <t>2023.a tulemus:</t>
    </r>
    <r>
      <rPr>
        <sz val="12"/>
        <rFont val="Calibri"/>
        <family val="2"/>
        <charset val="186"/>
      </rPr>
      <t xml:space="preserve"> Meeskond mehitatud
Üldine RMV hetkeolukord ja vajadused kaardistatud
RAB SAF s.h andmelao tehnoloogiline arhitektuur ja arendusplaan koostatud sh migratsiooniplaan. 
</t>
    </r>
    <r>
      <rPr>
        <b/>
        <sz val="12"/>
        <rFont val="Calibri"/>
        <family val="2"/>
        <charset val="186"/>
      </rPr>
      <t>2024.a tulemus:</t>
    </r>
    <r>
      <rPr>
        <sz val="12"/>
        <rFont val="Calibri"/>
        <family val="2"/>
        <charset val="186"/>
      </rPr>
      <t xml:space="preserve">
Loodud üldine RMV andmeanalüütika tulevikuvisioon ja tegevuskava
RAB andmelao põhifunktsionaalsus loodud RMIT keskkonnas ja andmed migreeritud. 
</t>
    </r>
    <r>
      <rPr>
        <b/>
        <sz val="12"/>
        <rFont val="Calibri"/>
        <family val="2"/>
        <charset val="186"/>
      </rPr>
      <t>2025. a tulemus</t>
    </r>
    <r>
      <rPr>
        <sz val="12"/>
        <rFont val="Calibri"/>
        <family val="2"/>
        <charset val="186"/>
      </rPr>
      <t xml:space="preserve">
RMV ülene keskne andmelao terviklahendus juurutatud
SAF andmelao kokkulepitud funktsionaalsus lisatud kesksele andmelao platvormile</t>
    </r>
  </si>
  <si>
    <t>38-47</t>
  </si>
  <si>
    <t xml:space="preserve">Personal RMIT-i:
2023. a arvestatud 7 kuuga
2 * IKT - süsteemiarhitektuur III 
2 * DevOps III
IKT Tooteomanik III
</t>
  </si>
  <si>
    <t>RM ja RMIT</t>
  </si>
  <si>
    <t>Riigi rahanduse valdkond (riigikassa ja ERIS)</t>
  </si>
  <si>
    <t>Digipöörde baasrahastus</t>
  </si>
  <si>
    <t>Riigikasssa rakenduse baasrahastus</t>
  </si>
  <si>
    <t>Olemasolev baasrahastus</t>
  </si>
  <si>
    <t>Baas</t>
  </si>
  <si>
    <t>Baaseelarve</t>
  </si>
  <si>
    <t>2. Tegevus on jätkusuutlikkuse kulu (baaseelarve, RES lisataotlus, muu allikas)</t>
  </si>
  <si>
    <t>Jätkusuutlikkuse kulu reale 35</t>
  </si>
  <si>
    <t>Marek Ilves</t>
  </si>
  <si>
    <t>1.2.3. Tulevikukindlad digiriigi platvormid</t>
  </si>
  <si>
    <t>Olemasoleva majandustarkvara SAP toote tugi lõpeb 2028dal aastal</t>
  </si>
  <si>
    <r>
      <t xml:space="preserve">2024: Riigiüleste ja RTK klientide vajaduste osas laiem ärianalüüs, millised teenused veel lisaks võiks olla infotehnoloogiliselt toetatud. Teiste riikide kogemustega tutvumine, kes on kasutanud sarnast SAPi lahendust nagu RTK.  
Eelanalüüsi hanke tehnilise kirjelduse koostamine, olemasoleva süsteemi kaardistus
</t>
    </r>
    <r>
      <rPr>
        <b/>
        <sz val="12"/>
        <rFont val="Calibri"/>
        <family val="2"/>
        <charset val="186"/>
      </rPr>
      <t>2025 tulemus:</t>
    </r>
    <r>
      <rPr>
        <sz val="12"/>
        <rFont val="Calibri"/>
        <family val="2"/>
        <charset val="186"/>
      </rPr>
      <t xml:space="preserve"> Eelanalüüs uue süsteemi juurutamiseks. Eelanalüüs peab andma vastuse: kas teha süsteemi migratsioon või uus juurutus; milline peaks olema kogu süsteemi üldine arhitektuur (mingi funktsionaalsuse osas võimalik pilvelahendus, põhiandmed riigi infrastruktuuris); litsentseerimise mudel;
majandustarkvara sisemine arhitektuur (kasutatavad moodulid); juurutamise etapid, kui pole migratsioon; projekti riskid, teiste riikide kogemus; sisend arendushankeks
</t>
    </r>
    <r>
      <rPr>
        <b/>
        <sz val="12"/>
        <rFont val="Calibri"/>
        <family val="2"/>
        <charset val="186"/>
      </rPr>
      <t>2026 tulemus:</t>
    </r>
    <r>
      <rPr>
        <sz val="12"/>
        <rFont val="Calibri"/>
        <family val="2"/>
        <charset val="186"/>
      </rPr>
      <t xml:space="preserve"> Uue süsteemi arendustööd. Arendustööd peavad sisaldama: detailanalüüsi; seadistustöid; arendustöid; testimist; koolitusi; dokumentatsiooni; juurutamise tuge</t>
    </r>
  </si>
  <si>
    <t>DP 2</t>
  </si>
  <si>
    <t>Vajalik vähemalt arhitektuuri paneel</t>
  </si>
  <si>
    <t>Arvestatud 2013 aasta projekti maksumusega, lisatud täiendav keerukus, kuna skoop on suurenenud ning Soome kogemusele toetutud</t>
  </si>
  <si>
    <t>3. SF tegevus, mis vajab jätkusuutlikkuse kulusid ja need on eraldi real välja toodud- vali, kui O veerus on märgitud „SF 21-27 (taotletav raha)“ ja algatuse näol on tegemist näiteks arendusega, mille valmimisel on vajalik selle ülalpidamise kulud ning AU veerus on kas vastava baaseelarve, või RES lisataotluse real kirjutatud, et see rida on vastava SF rea jätkusuutlikkuse kulu.</t>
  </si>
  <si>
    <t>RAHANDUS Digipööre
Jätkusuutlikkuse kulu on reas 108</t>
  </si>
  <si>
    <t xml:space="preserve">3. Õigusaktidest tulenevad vajadused. </t>
  </si>
  <si>
    <t>Äriarendus</t>
  </si>
  <si>
    <t>2. Tegevus on jätkusuutlikkuse kulu (baaseelarve, RES lisataotlus, muu allikas)- kasutada, kui O veerus on märgitud „Baaseelarve“, „RES IKT (vaja juurde taotleda)“, „Muu rahastus“, või „Reserv (SR)“.</t>
  </si>
  <si>
    <t>1.1.1. Üleminek sündmuspõhistele ja proaktiivsetele teenustele</t>
  </si>
  <si>
    <t>1. Baaseelarve tegevus, mis sisaldab jätkusuutlikkuse kulusid ja need on samal real välja toodud</t>
  </si>
  <si>
    <t>II: Ühenduvus</t>
  </si>
  <si>
    <t>1.1.2. Krativäeline riik</t>
  </si>
  <si>
    <t>Muu rahastus</t>
  </si>
  <si>
    <t>+km</t>
  </si>
  <si>
    <t>1.1.3. Inimkeskne Digiriik</t>
  </si>
  <si>
    <t>III: teadlikkuse tõstmine</t>
  </si>
  <si>
    <t>RES IKT (vaja juurde taotleda)</t>
  </si>
  <si>
    <t>3. SF tegevus, mis vajab jätkusuutlikkuse kulusid ja need on eraldi real välja toodud</t>
  </si>
  <si>
    <t>1.1.4. Roheline digiriik</t>
  </si>
  <si>
    <t>Reserv (SR)</t>
  </si>
  <si>
    <t>4. SF tegevus, mis vajab jätkusuutlikkuse kulusid, aga neid pole välja arvutatud ja eraldi real välja toodud</t>
  </si>
  <si>
    <t>1.2.1. Avalike teenuste juhtimise ja kasutajakesksuse juurutamine</t>
  </si>
  <si>
    <t>5. SF tegevus, mis ei vaja jätkusuutlikkuse kulusid (nt analüüs)</t>
  </si>
  <si>
    <t>SF 14-20 (töös olev projekt)</t>
  </si>
  <si>
    <t>3. teadlikkuse tõstmine</t>
  </si>
  <si>
    <t>1.2.4. Keskselt osutatud IT-alusteenused</t>
  </si>
  <si>
    <t>1.2.5. Uute lähenemisviiside pidev katsetamine</t>
  </si>
  <si>
    <t>1.2.6. Avatud innovatsioon ja digiriigi kogukonna arendamine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</si>
  <si>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</si>
  <si>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</si>
  <si>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</si>
  <si>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</si>
  <si>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</si>
  <si>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</si>
  <si>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</si>
  <si>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</si>
  <si>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</si>
  <si>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</si>
  <si>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</si>
  <si>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</si>
  <si>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</si>
  <si>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</si>
  <si>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</si>
  <si>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</si>
  <si>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</si>
  <si>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</si>
  <si>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</si>
  <si>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</si>
  <si>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</si>
  <si>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</si>
  <si>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</si>
  <si>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</si>
  <si>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</si>
  <si>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</si>
  <si>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</si>
  <si>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(Jah / EI
majandamiskulu, 55)</t>
  </si>
  <si>
    <t>Kui lühiajaline (alla aasta), siis kogu maksumus, kui pikemaajaline (üle 1 aasta), siis aasta maksumus)</t>
  </si>
  <si>
    <t>(kuuks ajaks, aastaks, kogu digipöörde ajaks, jne)</t>
  </si>
  <si>
    <t>(% tööajast)</t>
  </si>
  <si>
    <t>(Baaseelarve/SF)</t>
  </si>
  <si>
    <t>Rahanduse tiimi võimekuse suurendamine:
Eesti Vabariigi Riigieelarve Infosüsteemi (ERIS) loomiseks meeskondade võimestamine **
 e-Riigikassa tehnilise meeskondade võimestamiseks</t>
  </si>
  <si>
    <t>Tarkvara programmeerimine</t>
  </si>
  <si>
    <t>DEVOPS III</t>
  </si>
  <si>
    <t>x</t>
  </si>
  <si>
    <t>Jah</t>
  </si>
  <si>
    <t>On olemas</t>
  </si>
  <si>
    <t>Ei</t>
  </si>
  <si>
    <t>Kogu digipöörd ajaks</t>
  </si>
  <si>
    <t>SF</t>
  </si>
  <si>
    <t>Arendus (full-stack)</t>
  </si>
  <si>
    <t>Tuleb värvata</t>
  </si>
  <si>
    <t>DEVOPS II</t>
  </si>
  <si>
    <t>Testimine</t>
  </si>
  <si>
    <t>Süsteemiarhitektuur</t>
  </si>
  <si>
    <t>Süsteemiinsener</t>
  </si>
  <si>
    <t>Süsteemianalüüs</t>
  </si>
  <si>
    <t>Arendus  (full-stack)</t>
  </si>
  <si>
    <t>Raamlepingu alusel</t>
  </si>
  <si>
    <t>JAH</t>
  </si>
  <si>
    <t>2023.a teenusena raamlepingu alusel sisseost</t>
  </si>
  <si>
    <t>Tooteomanik</t>
  </si>
  <si>
    <t xml:space="preserve">Tootejuhtimine </t>
  </si>
  <si>
    <t>Ärianalüütik</t>
  </si>
  <si>
    <t>Analüütik (teabe)</t>
  </si>
  <si>
    <t>EI</t>
  </si>
  <si>
    <t>DEVOPS</t>
  </si>
  <si>
    <t>Juhtimine</t>
  </si>
  <si>
    <t>Teenuseomanik</t>
  </si>
  <si>
    <t>Eesti Vabariigi Riigieelarve Infosüsteemi (ERIS) loomine ja meeskondade võimestamine</t>
  </si>
  <si>
    <t>Tootearendus</t>
  </si>
  <si>
    <t>Olemas</t>
  </si>
  <si>
    <t>Leping</t>
  </si>
  <si>
    <t>2024.a teenusena raamlepingu alusel sisseost</t>
  </si>
  <si>
    <t>RMV Andmeladude tehnilise baasvõimekuse loomine (andmelaoarhitektide värbamine RMITi), mis tagab lahenduste (tehnilise) kvaliteedi - kuluefektiivsuse, automatiseerituse, kaasaegsuse, hallatavuse, turvalisuse ja tehnilise jätkusuutlikkuse ning võimaldab standardiseerida ja taaskasutada sarnased lahendused.</t>
  </si>
  <si>
    <t>Andmelaoarhitekt</t>
  </si>
  <si>
    <t>Andmearhitekt</t>
  </si>
  <si>
    <t>Infoturbe valdkonna võimekuse suurendamine RTKs (infoturbejuhi värbamine)</t>
  </si>
  <si>
    <t>Andmeturve</t>
  </si>
  <si>
    <t>Infoturbespetsialist</t>
  </si>
  <si>
    <t>Äriarhitektuuri võimekuse suurendamine RTKs (äriarhitekti värbamine).</t>
  </si>
  <si>
    <t>Projektijuhtimine</t>
  </si>
  <si>
    <t xml:space="preserve">IKT – projektijuhtimine, Fontes -tööpere 3 </t>
  </si>
  <si>
    <t xml:space="preserve">Tegemist on kahe töökohaga </t>
  </si>
  <si>
    <t>IKT - ärianalüüs, Fontes -tööpere  2</t>
  </si>
  <si>
    <t>Andmeanalüüs</t>
  </si>
  <si>
    <t>D</t>
  </si>
  <si>
    <t>Arvutigraafika</t>
  </si>
  <si>
    <t xml:space="preserve">Andmeanalüüs ja -seire </t>
  </si>
  <si>
    <t>Andmebaasiadministratsioon</t>
  </si>
  <si>
    <t>Konsultandid</t>
  </si>
  <si>
    <t>Andmehaldur</t>
  </si>
  <si>
    <t>Andmeteadur (teabe)</t>
  </si>
  <si>
    <t>Süsteemiadministratsioon</t>
  </si>
  <si>
    <t>Arendus</t>
  </si>
  <si>
    <t>Teenuste tugi</t>
  </si>
  <si>
    <t>Haldus</t>
  </si>
  <si>
    <t>Helpdesk</t>
  </si>
  <si>
    <t>Küberturve</t>
  </si>
  <si>
    <t>infoturbe logianalüütik</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</si>
  <si>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</si>
  <si>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</si>
  <si>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</si>
  <si>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</si>
  <si>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</si>
  <si>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</si>
  <si>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</si>
  <si>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</si>
  <si>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</si>
  <si>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</si>
  <si>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</si>
  <si>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</si>
  <si>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Eetiline häkkimine</t>
  </si>
  <si>
    <t>Teenusedisainer</t>
  </si>
  <si>
    <t>Süsteemiarhitekti</t>
  </si>
  <si>
    <t>Valdkonna digipööre</t>
  </si>
  <si>
    <t>Kokku</t>
  </si>
  <si>
    <t>Puudu olev jätkusuutlikkuse RES rahastus</t>
  </si>
  <si>
    <t>Algtase</t>
  </si>
  <si>
    <t>Lõpptase</t>
  </si>
  <si>
    <t>Lõpptase 2030</t>
  </si>
  <si>
    <t>Panustab arengukava suundadesse</t>
  </si>
  <si>
    <t>Meetme toetatavad tegevused</t>
  </si>
  <si>
    <t>Algatuse nimi</t>
  </si>
  <si>
    <t>2023 eelarve</t>
  </si>
  <si>
    <t>Kalkulatsioon ja allika põhjendus</t>
  </si>
  <si>
    <t>Jätkusuutlikkuse kulu</t>
  </si>
  <si>
    <t>Kommentaar</t>
  </si>
  <si>
    <t>2023 eelarve täitmine</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</si>
  <si>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</si>
  <si>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</si>
  <si>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</si>
  <si>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</si>
  <si>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e-Riigikassa tehnilise platvormi uuendamine *</t>
  </si>
  <si>
    <t xml:space="preserve">2023.a tulemus: Hankelepingu ettevalmistavad tööd ja lepingu sõlmimine osapooltega; broneeringu moodul on ümber kirjutatud Veera raamistikule 2) osaliselt on valminud maksete moodul. 
2024. a tulemus: 1) vähenenud oht turvaintsidentide tekkimiseks, sh e-riigikassa katkestustega seotud kulude tekkimise risk (aasta baasil u 1,6 mln); 2) eemaldatud mittekasutavad funktsionaalsused; 3) kasutajaliideses maksete ja väljavõtte moodul on uuendatud ja kasutajate ajakulu andmete töötlemisel on vähenenud. 4) kasutatakse MTA/RIA stiiliraamatut. 
Arendus on turvatestitud.  </t>
  </si>
  <si>
    <t>Kriitiline</t>
  </si>
  <si>
    <t>25-27</t>
  </si>
  <si>
    <t xml:space="preserve">Arenduse II faas - tunnihinne 40,80 (KM-ta) raamlepingu alusel:
1) broneeringu mooduli ümberkirjutamine Veera raamistkule u 800 h;  2) maksete moodul u 4600 h; 3) konto väljavõtte moodul u 5500 h. KOKKU 445 000 eur;
4) Turvatestimine 35 000 eur. KOKKU 480 000 eur. Lõpphind kujuneb pakkumuse raames.
5. Meeskonna võimestamine: 
</t>
  </si>
  <si>
    <t>I Faasi tööd (3 faasi kokku) on 2023a. tootestatud. II faasi taotluse heakskiitmiseks käivad läbirääkimised MKMi
arhitektuuripaneeli otsustuskoguga, mille otsust veel ootame. Läbirääkimised käivad eRiigikassa tehnoloogiliste valikute
osas.
RmIT-i on värvatud DevOps insener, et tagada e-riigikassa arenduste teostamine ja ülalhoiu jätkusuutlikkus ning
hooldustööde ja väikearenduste RmIT majasisene teostatavus.Arendushake ettevalmistustega on alustatud.</t>
  </si>
  <si>
    <t xml:space="preserve">Riigi rahanduse valdkonna süsteemide uuele tasemele viimiseks puuduvad piisavad võimekused:
•	Keskse, riigiülese infotehnoloogilise lahenduse puudumine, mis toetaks tegevuspõhise riigieelarve planeerimise, täitmise jälgimise, aruandluse ning kulu- ja juhtimisarvestusega seotud tegevusi ja piisav meeskonna võimekus
•	Riigi arvelduste korraldamiseks ja  rahavoogude juhtimiseks vajalik kriitiline infosüsteem e-Riigikassa arendusteks puudub piisav meeskonna võimekus. </t>
  </si>
  <si>
    <t>2023.a tulemus: - (sisse ostetavat teenusena) hangitud 2 analüütiku abiga on läbi viidud eelanalüüs arenduse algatamiseks;
- juunis 2023 on palgatud süsteemiarhitekt;
- palgatud on esimene DevOps insener;
- palgatud on analüütik;
- läbitud MKM äri- ja arhitektuuripaneelid.
2024.a tulemus:
- palgatud on teine DevOps insener;
- arenduspartneri(te)ga on raamleping sõlmitud;
- ERIS MVP realiseerimine on töös/arendusi teostatakse (eeldusel, et 2023. a lõpus MKM-le esitatav arendusvahendite taotlus saab heakskiidu).
2025.a tulemus: - ERIS MVP osa saab realiseeritud  (eeldusel, et 2023. a lõpus MKM-le esitatav arendusvahendite taotlus saab heakskiidu).</t>
  </si>
  <si>
    <t>28-33</t>
  </si>
  <si>
    <t>Arvestatud on järgmiste tööperedega iga aastase palgatõusuga 7%. 
2023: IKT DevOps 2 (alates september) 22 644 eurot personalikulu 4 kuud; IKT süsteemiarhitektuur IV 59 712 eurot (7 kuud), DevOps3 48 073 eurot, IKT testimine2 17 296 eurot ja tarkvaraarendus 3 18 612 eurot.
- Sisse otsetava teenusena 2 süsteemianalüütikut kokku 110 000 eurot. 
Analüütikute vajaduse põhjendus: Seoses erinevate muudatustega (mh ühe projektimeeskonna analüütiku/äriarhitekti liikumine Digipöörde raames loodud RM VA äriarhitekti positsioonile, varasemalt plaanitud tegevuste ajamahukus, digipöörde otsuse lükkumine hilisemaks) tuleb meil ajagraafikus püsimiseks (eesmärk: eelanalüüs on lõpetatud 2023.a lõpuks, mis on omakorda eelduseks 2025.a lõpu MVP LIVE-ks) osta ajutiselt sisse süsteemianalüütikute ressurssi. Selleks on olemas RMIT-il sobiv raamleping Cybernetika'ga. Hangiksime 2 süsteemianalüütikut (kummagi eeldatav maht 1000h 2023.a lõpuks). Peamised analüütikutel oodatavad tulemid on süsteemi- ja andmearhitektuuri nägemuste kirjeldamine koostöös RMIT süsteemi- ja andmearhitektidega vastavalt TOGAF metoodikaraamistikule.
2024: IKT DevOps2 72 688 eur ; DevOps3 88 181 eur; DevOps3 88 181 eur; IKT süsteemiarhitektuur IV 109 529 eur; IKT testimine 55 521 eurot ja tarkvaraarendus 59 743 eurot, personalikulu aastas.</t>
  </si>
  <si>
    <t>Konsultatsiooniteenuse leping on 2023. aasta oktoobris Cybernetica AS-ga sõlmitud ning analüüsitööd on käimas. Lepingu
sõlmimine viibis, kuna digipöörde tegevuskava allkirjastati oktoobris ja lepingulisi kohustusi enne võtta ei saanud.
Analüütikute toel on teostatud põhjalik ärianalüüsi sisendi täpsustamine, äriprotsesside korrastamine, süsteemiarhitektuuri kirjelduseks vajalikud eeltööd ning detailanalüüsiks ettevalmistavad tööd. Konsultatsiooniteenuse
raames teostakse ühtlasi ka süsteemi andmeanalüüsi tööülesandeid, mille raames selgitatakse välja süsteemi sees ja liideste kaudu süsteemiväliste komponentide vahel liikuvad andmed.  Konsultatsiooniteenus oli planeeritud algama mai 2023 ning lõppema 2023 lõpuks,
kuid hilinenud rahastusotsuse tõttu sõlmiti leping alles 2023.a sügeisel. 
Riigi rahanduse tiimi võiemkuse suurendamiseks on plagatud süsteemiarhitekt ja 2 devops arnedajat meeskonda.</t>
  </si>
  <si>
    <t>2023. a tulemus: Värvatud RM IKT ärianalüütik III, kes panustab (RaM ja RMIT poolt tehtavasse) eelanalüüsi faasi jms tööd, mis on vajaliku arendushanke ettevalmistamiseks.
Ostetud sisse konsultatsiooniteenust, mille eesmärgiks on nõustada äripoolt ERIS projekti ärinõuete kokkupanekul ja lahenduse välja töötamisel.</t>
  </si>
  <si>
    <t>28-34</t>
  </si>
  <si>
    <t>Arvestatud on järgmiste tööperedega iga aastase palgatõusuga 7%. 
2023: RM IKT ärianalüütik III 38 411 (7 kuud).
Konsultatasiooniteenus 13 380 eurot (4 kuud)
2024: RM IKT ärianalüütik III 70 457 (12 kuud).</t>
  </si>
  <si>
    <t>RaM ERIS analüütik töötab RaMis alates novembri algusest. Esmasteks tegevusteks oli omandada vajalikud teadmised ERIS projektiga seotud tegevustest, olemasolevatest materjalidest, seotud organisatsioonidest, üksustest ja rollidest.Seisuga 22.04..24.a on uus inimene värbamisel.</t>
  </si>
  <si>
    <t>Üleminek E-ITS-le (ettevalmistav kaardistus ja analüüs ja auditid)</t>
  </si>
  <si>
    <t>2023.a tulemus: Ette on valmistatud hange E-ITS rakendamiseks ja selleks vajalike eeldokumentide väljatöötamiseks, kaitsetarbe määramiseks äriprotsessidele ja sihtobjektide kaitsetarbe üle vaatamiseks jms vajalikud tegevused. 
2024. a tulemus: E-ITS rakendamiseks vajalike tööde läbiviimine ja tulemuste valideerimine. Lõpptulemuseks on ettevalmistatud dokumentatsioon ja tegevused eelauditi tellimiseks. Tegevusi viiakse läbi nii RM kui ka RTK-s.
2025. a tulemus: Tegevused eel- ja põhiauditi tellimine. Tegevusi viiakse läbi nii RM kui ka RTK-s.</t>
  </si>
  <si>
    <t>18-23</t>
  </si>
  <si>
    <t>Hneke ettevalmistusega on alustatud.</t>
  </si>
  <si>
    <t>ISO/IEC 27001 põhise infoturbejuhtimissüsteemile ülemineku algatamine, korraldamine ja teostamine (sh käigushoid) MTA</t>
  </si>
  <si>
    <t xml:space="preserve">2023.a tulemus: Ette on valmistatud hange ISO/IEC 27001 rakendamiseks ja selleks vajalike eeldokumentide väljatöötamiseks, kaitsetarbe määramiseks äriprotsessidele ja sihtobjektide kaitsetarbe üle vaatamiseks jms vajalikud tegevused. 
2024. a tulemus: ISO/IEC 27001 rakendamiseks vajalike tööde läbiviimine ja tulemuste valideerimine. Lõpptulemuseks on ettevalmistatud dokumentatsioon ja tegevused eelauditi tellimiseks.
2025. a tulemus: Tegevused eel- ja põhiauditi tellimine. Infoturbe käigushoid.
2026. a tulemus: Auditi käigus saadud soovituste rakendamine ning infoturbesüsteemi käigushoidmine ja parendustegevused
2027.a tulemus: Plaanilist auditeerimist ettevalmistavad tegevused sh eelauditi läbiviimine ja sellest tulenevad parendustegevused.
</t>
  </si>
  <si>
    <t>Teenus ostetakse sisse: küberturvalisuse seaduse §-id 7
ja 8 nõuetele vastavusse viimine ning ISO/IEC 27001 nõuetele vastav infoturbe halduse süsteemi rakendamiseks vajalikud tegevused sh. olemasoleva infoturbehaldussüsteemi ja olukorra ning riskianalüüsi üle vaatamine ja täiendamine ning teenuste ning äriprotsesside kaardistus ja analüüs. Tunnihinne ca 100 eur eksperdi tunnihind. Teostamise ja käigushoidmise eelarve on koostatud lähtuvalt eelanalüüside ning hangete läbiviimisest.</t>
  </si>
  <si>
    <t>ISO/IEC 27001 ja seotud standardite on esmane nõuetele vastavusanalüüs koostatud ja skoop seatud;
Esmane ISO/IEC 27001 ja seotud standarditele mittevastavuste ja puuduste loetelu on koostatud;
Esmane puuduste kõrvaldamise ja vastavusse viimise eest vastutajad ning tähtajad on määratud.
Tegevuste ettvalmistamine võttis oodatust rohkem aega ja alustamine lükkus 2024.aastasse.</t>
  </si>
  <si>
    <t>2023.a tulemus: Ette on valmistatud E-ITS rakendamise üldine plaan ja hankekirjeldus E-ITS rakendamiseks vajalike (eel) dokumentide väljatöötamiseks, kaitsetarbe määramiseks äriprotsessidele ja sihtobjektide kaitsetarbe üle vaatamiseks jms vajalikud tegevused. 
2024. a tulemus: Hanke väljakuulutamine ja hankekirjelduse alusel E-ITS rakendamiseks vajalike tööde läbiviimine ja tulemuste valideerimine. Lõpptulemuseks on ettevalmistatud dokumentatsioon ja tegevused E-ITS eelauditi tellimiseks.
2025. a tulemus: Hanked E-ITS eel- ja põhiauditi läbiviimiseks. E-ITS rakendamise põhiauditi aruanne on üle antud.  
2026. a tulemus: Soovituste rakendamine.
2027. a tulemus: Infoturbe käigushoid ja täiustamine, vaheaudit.</t>
  </si>
  <si>
    <t>Algatatud ettevalmistav kaardistus ja analüüsid infoturbe halduse süsteemi auditiks sh sobiliku standardi valik.</t>
  </si>
  <si>
    <t>ISO 27001 põhise infoturbejuhtimissüsteemile ülemineku algatamine, korraldamine ja teostamine (sh käigushoid) RMIT-is</t>
  </si>
  <si>
    <t>2023.a tulemus: -
2024.a tulemus: Sisemised protsessid on vastavalt ISO/IEC 27001 auditeeritud.
2025.a tulemus- Protsessid on  ISO/IEC 27001 vastavuses ja sertifitseeritud.
2026. a tulemus: Soovituste rakendamine.
2027. a tulemus: Infoturbe käigushoid ja täiustamine, vaheaudit.</t>
  </si>
  <si>
    <t>Ettevalmistavate tegevustega on alustatud</t>
  </si>
  <si>
    <t>Infoturbe valdkonna võimekuse suurendamine RAMis (infoturbejuhi värbamine)</t>
  </si>
  <si>
    <t>2023.a tulemus: Infoturbejuht on palgatud. Infoturvapoliitika on RMV kehtestatud.</t>
  </si>
  <si>
    <t>21-23</t>
  </si>
  <si>
    <t>Infoturbejuht on palgatud.
RMV infoturvapoliitika on RM IT-nõukogus heaks kiidetud ja kinnitatakse ministri käskkirjaga jaanuaris 2024. See on
üheks algatuseks ja aluseks e-ITS rakendamiseks. Rahandusministeeriumi töötajate küberhügeeni taseme hoidmiseks
võeti kasutusele RIA Kübertesti rakendus ja viidi läbi koolitused ja eksam.
Koostatud on ülevaade RAM infoturbeolukorra ülevaate.</t>
  </si>
  <si>
    <t>2023.a tulemus: -
2024.a tulemus: RTK-sse infoturbejuht värvatud</t>
  </si>
  <si>
    <t>Käesoleval aruande perioodil infoturbejuhti polnud plaanis värvata.</t>
  </si>
  <si>
    <t>Kesksete võimekuste suurendamine: 
1. Äriarhitektuuri võimekuse suurendamine RaM-is  
(äriarhitekti värbamine); 
2. Andmehalduse rakendamise võimekuse loomine RAMi 
(andmehaldusjuhi värbamine); 
3. Teenusejuhtimise võimekuse suurendamine (teenusedisaineri värbamine RaMi). 
4. Projektijuhtimise võimekuse suurendamine digipöörde tegevuskava elluviimisel.</t>
  </si>
  <si>
    <t>2023.a tulemus: Äriarhitekt on palgatud. 
Äriarhitektuuri esmane vaade on kaardistatud.
 2. Andmevaldkonna juht on palgatud. Esmased kaardistused on tehtud.
3. Teenusedisainer on palgatud ja esmane kaardistus on aasta lõpuks olemas.
4. Projektijuht on palgatud.</t>
  </si>
  <si>
    <t>1. Äriarhitektuuri vaatest on koondatud kokku esmased vaated valitsemisalaülesele äriteenuste
portfellile, IT teenuste portfellile, IKT eelarvele ning IKT arendusportfellile. Jätkub vajaduste analüüs
võimaliku keskse tööriista ja metoodika valimiseks ning joondamine teiste seotud valdkondadega
(andmed/infoturve/IT arhitektuur);
Käivitatud on IT nõukogu töö juhtimaks valitsemisalaüleselt IKT arendusvajadusi ning seotud
eelarvet;
Kinnitatud on RAM valitsemisala teenuste IKT strateegia arengusuunad perioodiks 2024-2028.
2. Andmehalduse rakendamise võimekuse loomine RAMi (andmehaldusjuhi värbamine): Andmevaldkonna juht on palgatud alates augustist.
Andmekogude kohta käiv info RIHAs on uuendamisel, asutatud andmekogude andmekirjelduste loomine (spetsiifiliselt äri- ja andmesõnastikud) on koos andmeomanikega projektipõhiselt töös.
Juriidiliselt asutamata andmestike kaardistus, sh andmeomanike tuvastamine on töösse võetud.
3. Teenusejuhtimise võimekuse suurendamine (teenusedisaineri värbamine RaMi)
Aruande esitamise ajal teenusedisainerit värvatud pole. Tegevustega alustatakse 2024.a.</t>
  </si>
  <si>
    <t>2023.a tulemus: Äriarhitekt on palgatud. Äriarhitektuuri esmane vaade on kaardistatud.</t>
  </si>
  <si>
    <t>Äriarhitektuuri võimekuse suurendamine RTKs (äriarhitekti värbamine):
 RTK alustas äriarhitekti värbamisega peale digipöörde tegevuskava kinnitamist oktoobris ja äriarhitekt alustab tööd jaanuar 2024. Äriarhitektuuri loomise eeltegevusi on tehtud- koostatud ametijuhend, äriarhitekt kaasatakse tulevastes projektides (RTK terviklike teenuste pakkumise projekt, riigi uue ühtse majandustarkvara loomise projekt) meeskonna liikmena.</t>
  </si>
  <si>
    <t xml:space="preserve">2023.a tulemus: Meeskond mehitatud
Üldine RMV hetkeolukord ja vajadused kaardistatud
RAB SAF s.h andmelao tehnoloogiline arhitektuur ja arendusplaan koostatud sh migratsiooniplaan. 
2024.a tulemus:
Loodud üldine RMV andmeanalüütika tulevikuvisioon ja tegevuskava
RAB andmelao põhifunktsionaalsus loodud RMIT keskkonnas ja andmed migreeritud. </t>
  </si>
  <si>
    <t>RMV Andmeladude tehnilise baasvõimekuse loomine (andmelaoarhitektide värbamine RMITi), Meeskonna mehitamine töös. Alates septembrist on olemas admearhitekt, 2 devopsi ja jaanuarist liitub tooteomanik.
Andmelao arhitekti seni värvata ei ole õnnestunud.
RMV andmeanalüütika esmane hetkeolukorra ja vajaduste kaardistus tehtud. Vajaduste põhjal on loomisel roadmap ja
ressursivajaduste kaardistus.
RAB SAF andmelao esmane arhitektuur on loodud ja RAB andmelao migreerimine on töös (töös RmITile andmete
töötlemiseks volituse taotlemine- põhimäärus kooskõlastamisel).</t>
  </si>
  <si>
    <t>Riigi rahanduse valdkond</t>
  </si>
  <si>
    <t>Tabelis esitataud summa pole õige. Kas tegevuskava tabelis oli summa vale, kuid seda muutsin. Esitatud baaseelarve oli 844 623 eurot. Samuti ei ole baaseelarve seirearuande osa.</t>
  </si>
  <si>
    <t>1. Tegevus sisaldab jätkusuutlikkuse kulusid ja need on samal real välja toodud.</t>
  </si>
  <si>
    <t>2. Tegevus on jätkusuutlikkuse kulu</t>
  </si>
  <si>
    <t>4. Tegevus, mis vajab jätkusuutlikkuse kulusid, aga neid pole välja arvutatud ja eraldi real välja toodud</t>
  </si>
  <si>
    <t>5. Tegevus, mis ei vaja jätkusuutlikkuse kulusid.</t>
  </si>
  <si>
    <r>
      <rPr>
        <b/>
        <sz val="11"/>
        <rFont val="Calibri"/>
        <family val="2"/>
        <charset val="186"/>
      </rPr>
      <t>Rahandus</t>
    </r>
    <r>
      <rPr>
        <b/>
        <sz val="11"/>
        <color theme="1"/>
        <rFont val="Calibri"/>
        <family val="2"/>
        <charset val="186"/>
      </rPr>
      <t>ministeeriumi valdkondlik digipööre</t>
    </r>
  </si>
  <si>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</si>
  <si>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</si>
  <si>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</si>
  <si>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</si>
  <si>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</si>
  <si>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</si>
  <si>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</si>
  <si>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Rahandusministeerium</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</si>
  <si>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</si>
  <si>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</si>
  <si>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</si>
  <si>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</si>
  <si>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</si>
  <si>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</si>
  <si>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</si>
  <si>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</si>
  <si>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</si>
  <si>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</si>
  <si>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</si>
  <si>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</si>
  <si>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Valdkondliku digipöörde tegevuskava – Rahandusministeerium</t>
  </si>
  <si>
    <r>
      <t>Digipöörde eesmärk:</t>
    </r>
    <r>
      <rPr>
        <sz val="11"/>
        <color theme="1"/>
        <rFont val="Calibri"/>
        <family val="2"/>
        <charset val="186"/>
        <scheme val="minor"/>
      </rPr>
      <t> </t>
    </r>
  </si>
  <si>
    <t xml:space="preserve">Riigi rahandus: Kriitiliste teenustega (riigiarveldused, riigi personali ja palgaarvestus) seotud infosüsteemide kaasajastamine ja tehnoloogilise võimekuse tõstmine;
Küberturve: Tõsta RMV astutuste valdkonna küpsust; Tõsta teenuste toimekindlust ja turvalisust (infoturbestandardite rakendamine);
Andmevaldkond: Andmepõhise juhtimise juurutamine ja andmevaldkonna küpsuse tõstmine läbi andmetöötluse ja -halduse protsesside parandamise ning andmetöötlust pakkuvate platvormide arendamise; 
</t>
  </si>
  <si>
    <r>
      <t>Digipöörde tegevuskava eesmärk:</t>
    </r>
    <r>
      <rPr>
        <sz val="11"/>
        <color theme="1"/>
        <rFont val="Calibri"/>
        <family val="2"/>
        <charset val="186"/>
        <scheme val="minor"/>
      </rPr>
      <t> </t>
    </r>
  </si>
  <si>
    <t xml:space="preserve">Rahandusministeeriumi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</si>
  <si>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</si>
  <si>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</si>
  <si>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</si>
  <si>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</si>
  <si>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</si>
  <si>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</si>
  <si>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Rahandusministeeriumi valdkondliku digipöörde 2023-2025 SF 2021-2027 toetuse summa koos käibemaksuga:</t>
  </si>
  <si>
    <r>
      <t>2025</t>
    </r>
    <r>
      <rPr>
        <sz val="11"/>
        <rFont val="Calibri"/>
        <family val="2"/>
        <charset val="186"/>
        <scheme val="minor"/>
      </rPr>
      <t> </t>
    </r>
  </si>
  <si>
    <t>Ministeerium (elluviija) /
partner</t>
  </si>
  <si>
    <t>Rahastuse allikas / meetme tegevus (SF)</t>
  </si>
  <si>
    <t>2023 kokku</t>
  </si>
  <si>
    <t>2024 kokku</t>
  </si>
  <si>
    <t>2025 kokku</t>
  </si>
  <si>
    <t>(EA konto)</t>
  </si>
  <si>
    <t>KOKKU</t>
  </si>
  <si>
    <t>Summa koos käibemaksuga:</t>
  </si>
  <si>
    <t>Liikide lõikes​</t>
  </si>
  <si>
    <t>Eelarve täitmine 31.12.2023</t>
  </si>
  <si>
    <t>Eelarve​</t>
  </si>
  <si>
    <t>Täitmine​</t>
  </si>
  <si>
    <t>Jääk​</t>
  </si>
  <si>
    <t>Täitmise %​</t>
  </si>
  <si>
    <t>Kokku​</t>
  </si>
  <si>
    <t>Riigieelarve​</t>
  </si>
  <si>
    <t>Välistoetused​</t>
  </si>
  <si>
    <t>Muud​</t>
  </si>
  <si>
    <t>Majandusliku sisu lõikes​</t>
  </si>
  <si>
    <t>Investeeringud​</t>
  </si>
  <si>
    <t>Tööjõukulud</t>
  </si>
  <si>
    <t>​Majandamiskulud​</t>
  </si>
  <si>
    <t>2024 eelarve</t>
  </si>
  <si>
    <t>Majandusliku sisu lõikes​</t>
  </si>
  <si>
    <t>Personali muutus</t>
  </si>
  <si>
    <r>
      <t>01.01.2025*</t>
    </r>
    <r>
      <rPr>
        <sz val="11"/>
        <color rgb="FF000000"/>
        <rFont val="Raleway"/>
        <charset val="186"/>
      </rPr>
      <t>​</t>
    </r>
  </si>
  <si>
    <r>
      <t>01.01.2026*</t>
    </r>
    <r>
      <rPr>
        <sz val="11"/>
        <color rgb="FF000000"/>
        <rFont val="Raleway"/>
        <charset val="186"/>
      </rPr>
      <t>​</t>
    </r>
  </si>
  <si>
    <r>
      <t>01.01.2027*</t>
    </r>
    <r>
      <rPr>
        <sz val="11"/>
        <color rgb="FF000000"/>
        <rFont val="Raleway"/>
        <charset val="186"/>
      </rPr>
      <t>​</t>
    </r>
  </si>
  <si>
    <t>Töötajate arv ​</t>
  </si>
  <si>
    <t>Kasv​ (%, võrrelduna eelmise aastaga)</t>
  </si>
  <si>
    <t>* Prognoos</t>
  </si>
  <si>
    <t>RmIT</t>
  </si>
  <si>
    <t>Seisuga 01.01.2023</t>
  </si>
  <si>
    <t xml:space="preserve">RmIT IKT personal seisuga 01.01.2024 </t>
  </si>
  <si>
    <t>IKT Personal</t>
  </si>
  <si>
    <t>Täidetud/olemas</t>
  </si>
  <si>
    <t>Täitmata</t>
  </si>
  <si>
    <t>andmelao arendaja​</t>
  </si>
  <si>
    <t>IT projektijuht​</t>
  </si>
  <si>
    <t>rakenduste administraator​</t>
  </si>
  <si>
    <t>riskijuht​</t>
  </si>
  <si>
    <t>süsteemiadministraator​</t>
  </si>
  <si>
    <t>tarkvara arhitekt​</t>
  </si>
  <si>
    <t>testija​</t>
  </si>
  <si>
    <t>tooteomanik​</t>
  </si>
  <si>
    <t>infoturbespetsialist</t>
  </si>
  <si>
    <t>Tarkvara arendaja</t>
  </si>
  <si>
    <t>Süsteemianalüütik</t>
  </si>
  <si>
    <t>võrguadministraator</t>
  </si>
  <si>
    <t>õigustehaldur</t>
  </si>
  <si>
    <t>IT osakonna juhataja</t>
  </si>
  <si>
    <t>andmearhitekt</t>
  </si>
  <si>
    <t>andmebaasiadministraator</t>
  </si>
  <si>
    <t>DevOps arendaja</t>
  </si>
  <si>
    <t>andmelao arhitekt</t>
  </si>
  <si>
    <t>DevOps insener</t>
  </si>
  <si>
    <t>DevOps spetsialist</t>
  </si>
  <si>
    <t>juhtiv andmebaasi administraator</t>
  </si>
  <si>
    <t>Taristu arhitekt</t>
  </si>
  <si>
    <t>monitooringu spetsialist</t>
  </si>
  <si>
    <t>konfiguratsioonihaldur</t>
  </si>
  <si>
    <t>IT tiimijuht</t>
  </si>
  <si>
    <t>RMV asutuste v.a RmIT ja RAB IKT personal seisuga 01.01.2024</t>
  </si>
  <si>
    <t>Projektijuht​</t>
  </si>
  <si>
    <t>Kasutajatugi</t>
  </si>
  <si>
    <t>Aruandlusspetsialist</t>
  </si>
  <si>
    <t>Tarkvara konsultant</t>
  </si>
  <si>
    <t>Aruandluse arendaja</t>
  </si>
  <si>
    <t>Arendaja</t>
  </si>
  <si>
    <t>arvutigraafika</t>
  </si>
  <si>
    <t>arenduste valdkonnajuht/ IT juht</t>
  </si>
  <si>
    <t>rakenduste juht</t>
  </si>
  <si>
    <t>süsteemiarhitektuur</t>
  </si>
  <si>
    <t>andmearhitektuur</t>
  </si>
  <si>
    <t>IT juht</t>
  </si>
  <si>
    <t>programmeerija</t>
  </si>
  <si>
    <t>protsessijuht</t>
  </si>
  <si>
    <t>analüütik-disainer</t>
  </si>
  <si>
    <t>e-tolli koordinaator</t>
  </si>
  <si>
    <t>peakasutaja</t>
  </si>
  <si>
    <t>andmekaitsespetsialist</t>
  </si>
  <si>
    <t>tootejuht</t>
  </si>
  <si>
    <t>e-kanalite teenusejuht/üksuse juht</t>
  </si>
  <si>
    <t>klienditoe konsultant (tehniline tugi)</t>
  </si>
  <si>
    <t>teenusehaldur</t>
  </si>
  <si>
    <t>äriarhitekt</t>
  </si>
  <si>
    <t>andmeteenuse arhitekt-analüütik</t>
  </si>
  <si>
    <t>arendusanalüütik</t>
  </si>
  <si>
    <t>ärianalüütik</t>
  </si>
  <si>
    <t>NB! Tabelis tuua välja valitsemisala kõik IKT ametikohad. Vajadusel lisada ridu juurde.</t>
  </si>
  <si>
    <t>RAM</t>
  </si>
  <si>
    <t>Teenuse toimimiseks vajalik riigikassa põhirakendus ja teenuste moodul on kirjutatud üle 10 aasta tagasi, mis toob kaasa suured küberriskid, sh puuduvad turvauuendused. 
Riigi arvelduste teenuse (e-RK) katkemisel ei täida RaM:
Eelarve baasseadusest tulenevat kohustust teostada asutuste kassalist teenindamist (162 asutust); Koostöölepingutest tulenvaid kohustusi, mis on sõlmitud sihtasutustega (55 asutust) ja AS Pensionikeskusega
E-riigikassa teenuse seisakuga:
1)	Puudub võimalus edastada makseid pankadesse, nt:
•	MTA suuremahulised füüsilise isiku tulumaksu tagastused, tagasimakse periood on mitu kuud;
•	AS Pensionikeskuse igakuised II ja III samba ülekanded, st e-riigikassa teenindab pensioniregistrit;
•	Kinnipeetavate jooksvad ülekanded , s.t e-riigikassa teenindab läbi Tartu Vangla K-RAHA kinnipeetavate infosüsteemi;
•	Igakuised ülekanded KOV-dele toetusfondi, tasandusfondi, investeeringutoetuste näol;
•	Suuremahulised toetused, millede väljamaksjateks: PRIA, EAS, MES, KredEx jms.	
2)	Puudub võimalus saada informatsiooni laekumiste kohta, millega on seotud teiste asutuste infosüsteemid, kus jooksvalt kontrollitakse summade laekumisi (riigilõivud, trahvid, tulud jne) nt:
•	Transpordiameti lõivustatud teenused
•	PPA ID/Mobiil ID kaardi lõivustatud teenused jms.</t>
  </si>
  <si>
    <t>Uue majandustarkvara juurutamine*</t>
  </si>
  <si>
    <r>
      <rPr>
        <b/>
        <sz val="12"/>
        <rFont val="Calibri"/>
        <family val="2"/>
        <charset val="186"/>
      </rPr>
      <t>2023.a tulemus: -</t>
    </r>
    <r>
      <rPr>
        <sz val="12"/>
        <rFont val="Calibri"/>
        <family val="2"/>
        <charset val="186"/>
      </rPr>
      <t xml:space="preserve"> (sisse ostetavat teenusena) hangitud 2 analüütiku abiga on läbi viidud eelanalüüs arenduse algatamiseks;
- juunis 2023 on palgatud süsteemiarhitekt;
- palgatud on esimene DevOps insener;
- palgatud on analüütik;
</t>
    </r>
    <r>
      <rPr>
        <b/>
        <sz val="12"/>
        <rFont val="Calibri"/>
        <family val="2"/>
        <charset val="186"/>
      </rPr>
      <t>2024 tulemus:</t>
    </r>
    <r>
      <rPr>
        <sz val="12"/>
        <rFont val="Calibri"/>
        <family val="2"/>
        <charset val="186"/>
      </rPr>
      <t xml:space="preserve">
- läbitud MKM äri- ja arhitektuuripaneelid;
- meeskonnad palgatud riigi rahanduse süsteemide arenduste teostamiseks ja toimimise toetamiseks. 
</t>
    </r>
    <r>
      <rPr>
        <b/>
        <sz val="12"/>
        <rFont val="Calibri"/>
        <family val="2"/>
        <charset val="186"/>
      </rPr>
      <t>2025 tulemus:</t>
    </r>
    <r>
      <rPr>
        <sz val="12"/>
        <rFont val="Calibri"/>
        <family val="2"/>
        <charset val="186"/>
      </rPr>
      <t xml:space="preserve">
- meeskonnad palgatud riigi rahanduse süsteemide arenduste teostamiseks ja toimimise toetamiseks.
</t>
    </r>
    <r>
      <rPr>
        <b/>
        <sz val="12"/>
        <rFont val="Calibri"/>
        <family val="2"/>
        <charset val="186"/>
      </rPr>
      <t>2026.a tulemus:</t>
    </r>
    <r>
      <rPr>
        <sz val="12"/>
        <rFont val="Calibri"/>
        <family val="2"/>
        <charset val="186"/>
      </rPr>
      <t xml:space="preserve"> 1) ERIS MVP realiseerimine on töös; 2) infosüsteemi piloteerimine on käivitatud; 3) RmIT sisene ERIS tiim on komplekteeritud.</t>
    </r>
  </si>
  <si>
    <r>
      <rPr>
        <b/>
        <sz val="12"/>
        <rFont val="Calibri"/>
        <family val="2"/>
        <charset val="186"/>
      </rPr>
      <t>2023.</t>
    </r>
    <r>
      <rPr>
        <sz val="12"/>
        <rFont val="Calibri"/>
        <family val="2"/>
        <charset val="186"/>
      </rPr>
      <t xml:space="preserve">a tulemus: -
</t>
    </r>
    <r>
      <rPr>
        <b/>
        <sz val="12"/>
        <rFont val="Calibri"/>
        <family val="2"/>
        <charset val="186"/>
      </rPr>
      <t>2024.</t>
    </r>
    <r>
      <rPr>
        <sz val="12"/>
        <rFont val="Calibri"/>
        <family val="2"/>
        <charset val="186"/>
      </rPr>
      <t xml:space="preserve">a tulemus: koostatud on ISO/IEC 27001 siseauditi programm ja aastaplaan ajaperioodiks 2024-2026, on teostatud esimesed siseauditid.
</t>
    </r>
    <r>
      <rPr>
        <b/>
        <sz val="12"/>
        <rFont val="Calibri"/>
        <family val="2"/>
        <charset val="186"/>
      </rPr>
      <t>2025.a</t>
    </r>
    <r>
      <rPr>
        <sz val="12"/>
        <rFont val="Calibri"/>
        <family val="2"/>
        <charset val="186"/>
      </rPr>
      <t xml:space="preserve"> tulemus: planeeritud siseauditid on teostatud, protsessid on ISO/IEC 27001 vastavuses ja sertifitseeritud.
</t>
    </r>
    <r>
      <rPr>
        <b/>
        <sz val="12"/>
        <rFont val="Calibri"/>
        <family val="2"/>
        <charset val="186"/>
      </rPr>
      <t>2026</t>
    </r>
    <r>
      <rPr>
        <sz val="12"/>
        <rFont val="Calibri"/>
        <family val="2"/>
        <charset val="186"/>
      </rPr>
      <t xml:space="preserve">. a tulemus: planeeritud siseauditid ja korraline järelevalveaudit on teostatud, infoturbe käigushoid ja täiustamine.
</t>
    </r>
    <r>
      <rPr>
        <b/>
        <sz val="12"/>
        <rFont val="Calibri"/>
        <family val="2"/>
        <charset val="186"/>
      </rPr>
      <t xml:space="preserve">2027. </t>
    </r>
    <r>
      <rPr>
        <sz val="12"/>
        <rFont val="Calibri"/>
        <family val="2"/>
        <charset val="186"/>
      </rPr>
      <t>a tulemus: korraline järelevalve audit on teostatud, infoturbe käigushoid ja täiustamine.</t>
    </r>
  </si>
  <si>
    <r>
      <rPr>
        <b/>
        <sz val="12"/>
        <rFont val="Calibri"/>
        <family val="2"/>
        <charset val="186"/>
      </rPr>
      <t>2023.a</t>
    </r>
    <r>
      <rPr>
        <sz val="12"/>
        <rFont val="Calibri"/>
        <family val="2"/>
        <charset val="186"/>
      </rPr>
      <t xml:space="preserve"> tulemus: Infoturbejuht on palgatud. Infoturvapoliitika on RMV kehtestatud.
</t>
    </r>
    <r>
      <rPr>
        <b/>
        <sz val="12"/>
        <rFont val="Calibri"/>
        <family val="2"/>
        <charset val="186"/>
      </rPr>
      <t>2024:</t>
    </r>
    <r>
      <rPr>
        <sz val="12"/>
        <rFont val="Calibri"/>
        <family val="2"/>
        <charset val="186"/>
      </rPr>
      <t xml:space="preserve">  E-ITS infoturvameetmete rakendamise eeldused on Rmis täidetud; 
</t>
    </r>
  </si>
  <si>
    <t xml:space="preserve">Riigi rahandus: Majandustarkvara ja ERIS analüüside teostamine ja arendusalgatuste ettevalmistamine; e-Riigikassa arenduste teostamine ja rahanduse meeskonna jätkuv võimestamine;
Küberturve: Infoturbestandardi (E-ITS või ISO27001) rakendamine ja auditeerimine asutustes;
Andmevaldkond: Andmetehnoloogia keskse kompetentsi jätkuv tagamine ja arendamine RmITis.
</t>
  </si>
  <si>
    <t>Tulenevalt majandus- ja infotehnoloogiaministri 25. augusti 2023. a käskkirjast „Toetuse andmise tingimused valdkondlike digipöörete toetamiseks“ allkirjastan/kinnitan Rahandusministeeriumi digipöörde tegevuskava.</t>
  </si>
  <si>
    <t>Veerg „Algatuse nimi“: 
* - Enne algatusega/tegevusega alustamist tuleb läbida arhitektuuripaneel;
Veerg: „Rahastuse allikas / meetme tegevus (SF)“: 
1 – (Baaseelarve, RES, reserv SR) – summad kajastatakse ilma käibemaksuta ja käibemaks arvestatakse juurde riigieelarvest; 
2 – (SF, nii 14-20, kui 21-27) – toetuse summad kajastatakse koos käibemaksuga, käibemaks on osa toetusest.</t>
  </si>
  <si>
    <t>Liisa-Ly Pakosta</t>
  </si>
  <si>
    <t>justiits- ja digiminister</t>
  </si>
  <si>
    <r>
      <t>(allkirjastatud digitaalselt)</t>
    </r>
    <r>
      <rPr>
        <sz val="9"/>
        <color rgb="FF000000"/>
        <rFont val="Calibri"/>
        <family val="2"/>
        <charset val="186"/>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</si>
</sst>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68"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1"/>
      <name val="Calibri"/>
      <family val="2"/>
      <scheme val="minor"/>
    </font>
    <font>
      <sz val="12"/>
      <name val="Calibri"/>
      <family val="2"/>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sz val="10"/>
      <name val="Raleway"/>
      <charset val="186"/>
    </font>
    <font>
      <b/>
      <u/>
      <sz val="11"/>
      <name val="Calibri"/>
      <family val="2"/>
      <charset val="186"/>
      <scheme val="minor"/>
    </font>
    <font>
      <b/>
      <sz val="11"/>
      <name val="Calibri"/>
      <family val="2"/>
      <charset val="186"/>
      <scheme val="minor"/>
    </font>
    <font>
      <i/>
      <sz val="11"/>
      <name val="Calibri"/>
      <family val="2"/>
      <charset val="186"/>
      <scheme val="minor"/>
    </font>
    <font>
      <sz val="11"/>
      <color theme="5" tint="-0.499984740745262"/>
      <name val="Calibri"/>
      <family val="2"/>
      <charset val="186"/>
      <scheme val="minor"/>
    </font>
    <font>
      <b/>
      <sz val="12"/>
      <name val="Calibri"/>
      <family val="2"/>
      <charset val="186"/>
    </font>
    <font>
      <b/>
      <sz val="12"/>
      <color theme="1"/>
      <name val="Calibri"/>
      <family val="2"/>
      <charset val="186"/>
    </font>
    <font>
      <sz val="12"/>
      <color theme="1"/>
      <name val="Calibri"/>
      <family val="2"/>
      <charset val="186"/>
    </font>
    <font>
      <b/>
      <sz val="12"/>
      <color rgb="FF202020"/>
      <name val="Calibri"/>
      <family val="2"/>
      <charset val="186"/>
    </font>
    <font>
      <sz val="12"/>
      <color rgb="FF202020"/>
      <name val="Calibri"/>
      <family val="2"/>
      <charset val="186"/>
    </font>
    <font>
      <b/>
      <sz val="12"/>
      <color rgb="FFFF0000"/>
      <name val="Calibri"/>
      <family val="2"/>
      <charset val="186"/>
    </font>
    <font>
      <i/>
      <sz val="12"/>
      <name val="Calibri"/>
      <family val="2"/>
      <charset val="186"/>
    </font>
    <font>
      <b/>
      <i/>
      <sz val="12"/>
      <color theme="1"/>
      <name val="Calibri"/>
      <family val="2"/>
      <charset val="186"/>
    </font>
    <font>
      <i/>
      <sz val="12"/>
      <color theme="1"/>
      <name val="Calibri"/>
      <family val="2"/>
      <charset val="186"/>
    </font>
    <font>
      <sz val="12"/>
      <color rgb="FFFF0000"/>
      <name val="Calibri"/>
      <family val="2"/>
      <charset val="186"/>
    </font>
    <font>
      <b/>
      <i/>
      <sz val="12"/>
      <name val="Calibri"/>
      <family val="2"/>
      <charset val="186"/>
    </font>
    <font>
      <b/>
      <i/>
      <sz val="10"/>
      <color rgb="FF000000"/>
      <name val="Calibri"/>
      <family val="2"/>
      <charset val="186"/>
      <scheme val="minor"/>
    </font>
    <font>
      <i/>
      <sz val="9"/>
      <color rgb="FF000000"/>
      <name val="Calibri"/>
      <family val="2"/>
      <charset val="186"/>
      <scheme val="minor"/>
    </font>
    <font>
      <i/>
      <sz val="9"/>
      <color theme="1"/>
      <name val="Calibri"/>
      <family val="2"/>
      <charset val="186"/>
      <scheme val="minor"/>
    </font>
    <font>
      <i/>
      <sz val="10"/>
      <color theme="1"/>
      <name val="Calibri"/>
      <family val="2"/>
      <charset val="186"/>
      <scheme val="minor"/>
    </font>
    <font>
      <sz val="10"/>
      <color rgb="FF000000"/>
      <name val="Arial"/>
      <family val="2"/>
      <charset val="186"/>
    </font>
    <font>
      <b/>
      <i/>
      <sz val="11"/>
      <name val="Calibri"/>
      <family val="2"/>
      <charset val="186"/>
      <scheme val="minor"/>
    </font>
    <font>
      <b/>
      <sz val="9"/>
      <name val="Calibri"/>
      <family val="2"/>
      <charset val="186"/>
      <scheme val="minor"/>
    </font>
    <font>
      <i/>
      <sz val="9"/>
      <name val="Calibri"/>
      <family val="2"/>
      <charset val="186"/>
      <scheme val="minor"/>
    </font>
    <font>
      <sz val="9"/>
      <color rgb="FF000000"/>
      <name val="Calibri"/>
      <family val="2"/>
      <charset val="186"/>
      <scheme val="minor"/>
    </font>
  </fonts>
  <fills count="2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rgb="FFA9D08E"/>
        <bgColor rgb="FF000000"/>
      </patternFill>
    </fill>
    <fill>
      <patternFill patternType="solid">
        <fgColor theme="6"/>
        <bgColor indexed="64"/>
      </patternFill>
    </fill>
    <fill>
      <patternFill patternType="solid">
        <fgColor rgb="FFF3F3F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rgb="FFE7E6E6"/>
        <bgColor rgb="FF000000"/>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s>
  <borders count="13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medium">
        <color indexed="64"/>
      </top>
      <bottom/>
      <diagonal/>
    </border>
    <border>
      <left style="thin">
        <color rgb="FF000000"/>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thin">
        <color indexed="64"/>
      </left>
      <right/>
      <top style="thin">
        <color indexed="64"/>
      </top>
      <bottom style="medium">
        <color rgb="FF000000"/>
      </bottom>
      <diagonal/>
    </border>
    <border>
      <left style="medium">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medium">
        <color indexed="64"/>
      </right>
      <top style="thin">
        <color theme="4" tint="0.39997558519241921"/>
      </top>
      <bottom style="thin">
        <color indexed="64"/>
      </bottom>
      <diagonal/>
    </border>
    <border>
      <left style="medium">
        <color indexed="64"/>
      </left>
      <right/>
      <top style="thin">
        <color theme="4" tint="0.39997558519241921"/>
      </top>
      <bottom style="thin">
        <color auto="1"/>
      </bottom>
      <diagonal/>
    </border>
    <border>
      <left style="thin">
        <color indexed="64"/>
      </left>
      <right/>
      <top style="thin">
        <color theme="4" tint="0.39997558519241921"/>
      </top>
      <bottom style="thin">
        <color indexed="64"/>
      </bottom>
      <diagonal/>
    </border>
    <border>
      <left style="thin">
        <color indexed="64"/>
      </left>
      <right style="medium">
        <color indexed="64"/>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medium">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thin">
        <color auto="1"/>
      </right>
      <top style="thin">
        <color theme="4" tint="0.39997558519241921"/>
      </top>
      <bottom style="thin">
        <color theme="4" tint="0.39997558519241921"/>
      </bottom>
      <diagonal/>
    </border>
  </borders>
  <cellStyleXfs count="3">
    <xf numFmtId="0" fontId="0" fillId="0" borderId="0"/>
    <xf numFmtId="0" fontId="19" fillId="5" borderId="0" applyNumberFormat="0" applyBorder="0" applyAlignment="0" applyProtection="0"/>
    <xf numFmtId="0" fontId="63" fillId="0" borderId="0"/>
  </cellStyleXfs>
  <cellXfs count="990">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0" fillId="0" borderId="0" xfId="0" applyFont="1"/>
    <xf numFmtId="0" fontId="16"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5" fillId="0" borderId="15" xfId="0" applyNumberFormat="1" applyFont="1" applyBorder="1" applyAlignment="1">
      <alignment vertical="top"/>
    </xf>
    <xf numFmtId="164" fontId="13" fillId="4" borderId="23" xfId="0" applyNumberFormat="1" applyFont="1" applyFill="1" applyBorder="1" applyAlignment="1">
      <alignment horizontal="center" vertical="top" wrapText="1"/>
    </xf>
    <xf numFmtId="164" fontId="13" fillId="4" borderId="30" xfId="0" applyNumberFormat="1" applyFont="1" applyFill="1" applyBorder="1" applyAlignment="1">
      <alignment horizontal="center" vertical="top" wrapText="1"/>
    </xf>
    <xf numFmtId="0" fontId="12" fillId="4" borderId="7" xfId="0" applyFont="1" applyFill="1" applyBorder="1" applyAlignment="1">
      <alignment horizontal="center" vertical="top"/>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4" fillId="0" borderId="16" xfId="0" applyFont="1" applyBorder="1" applyAlignment="1">
      <alignment horizontal="left" vertical="top"/>
    </xf>
    <xf numFmtId="0" fontId="11" fillId="0" borderId="3" xfId="0" applyFont="1" applyBorder="1"/>
    <xf numFmtId="3" fontId="18" fillId="0" borderId="17" xfId="0" applyNumberFormat="1" applyFont="1" applyBorder="1" applyAlignment="1">
      <alignment vertical="top"/>
    </xf>
    <xf numFmtId="0" fontId="1" fillId="0" borderId="0" xfId="0" applyFont="1" applyAlignment="1">
      <alignment vertical="top"/>
    </xf>
    <xf numFmtId="0" fontId="17"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1" fillId="0" borderId="28" xfId="0" applyFont="1" applyBorder="1" applyAlignment="1">
      <alignment horizontal="center" vertical="top" wrapText="1"/>
    </xf>
    <xf numFmtId="0" fontId="21" fillId="0" borderId="51" xfId="0" applyFont="1" applyBorder="1" applyAlignment="1">
      <alignment horizontal="center" vertical="top" wrapText="1"/>
    </xf>
    <xf numFmtId="3" fontId="21" fillId="0" borderId="33" xfId="0" applyNumberFormat="1" applyFont="1" applyBorder="1" applyAlignment="1">
      <alignment vertical="top" wrapText="1"/>
    </xf>
    <xf numFmtId="3" fontId="21" fillId="0" borderId="53" xfId="0" applyNumberFormat="1" applyFont="1" applyBorder="1" applyAlignment="1">
      <alignment vertical="top" wrapText="1"/>
    </xf>
    <xf numFmtId="0" fontId="0" fillId="0" borderId="54" xfId="0" applyBorder="1" applyAlignment="1">
      <alignment vertical="top" wrapText="1"/>
    </xf>
    <xf numFmtId="3" fontId="22" fillId="0" borderId="36" xfId="0" applyNumberFormat="1" applyFont="1" applyBorder="1" applyAlignment="1">
      <alignment horizontal="right" vertical="top" wrapText="1"/>
    </xf>
    <xf numFmtId="0" fontId="10" fillId="0" borderId="0" xfId="0" applyFont="1" applyAlignment="1">
      <alignment horizontal="center" vertical="top" wrapText="1"/>
    </xf>
    <xf numFmtId="0" fontId="10" fillId="0" borderId="54" xfId="0" applyFont="1" applyBorder="1" applyAlignment="1">
      <alignment horizontal="center" vertical="top" wrapText="1"/>
    </xf>
    <xf numFmtId="0" fontId="21" fillId="0" borderId="23" xfId="0" applyFont="1" applyBorder="1" applyAlignment="1">
      <alignment horizontal="left" vertical="top" wrapText="1"/>
    </xf>
    <xf numFmtId="0" fontId="10" fillId="0" borderId="56" xfId="0" applyFont="1" applyBorder="1" applyAlignment="1">
      <alignment horizontal="center" vertical="top" wrapText="1"/>
    </xf>
    <xf numFmtId="0" fontId="10" fillId="0" borderId="57"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0" fillId="0" borderId="0" xfId="0" applyFont="1" applyAlignment="1">
      <alignment vertical="top" wrapText="1"/>
    </xf>
    <xf numFmtId="0" fontId="26" fillId="6" borderId="60" xfId="0" applyFont="1" applyFill="1" applyBorder="1" applyAlignment="1">
      <alignment vertical="top" wrapText="1"/>
    </xf>
    <xf numFmtId="0" fontId="28" fillId="7" borderId="61" xfId="0" applyFont="1" applyFill="1" applyBorder="1" applyAlignment="1">
      <alignment vertical="top"/>
    </xf>
    <xf numFmtId="0" fontId="26" fillId="7" borderId="61" xfId="0" applyFont="1" applyFill="1" applyBorder="1" applyAlignment="1">
      <alignment vertical="top"/>
    </xf>
    <xf numFmtId="3" fontId="28" fillId="7" borderId="62" xfId="0" applyNumberFormat="1" applyFont="1" applyFill="1" applyBorder="1" applyAlignment="1">
      <alignment vertical="top"/>
    </xf>
    <xf numFmtId="0" fontId="28" fillId="7" borderId="65" xfId="0" applyFont="1" applyFill="1" applyBorder="1" applyAlignment="1">
      <alignment vertical="top"/>
    </xf>
    <xf numFmtId="3" fontId="28" fillId="7" borderId="64" xfId="0" applyNumberFormat="1" applyFont="1" applyFill="1" applyBorder="1" applyAlignment="1">
      <alignment vertical="top"/>
    </xf>
    <xf numFmtId="3" fontId="26" fillId="7" borderId="27" xfId="0" applyNumberFormat="1" applyFont="1" applyFill="1" applyBorder="1" applyAlignment="1">
      <alignment vertical="top"/>
    </xf>
    <xf numFmtId="0" fontId="28" fillId="7" borderId="27" xfId="0" applyFont="1" applyFill="1" applyBorder="1" applyAlignment="1">
      <alignment vertical="top"/>
    </xf>
    <xf numFmtId="0" fontId="26" fillId="7" borderId="27" xfId="0" applyFont="1" applyFill="1" applyBorder="1" applyAlignment="1">
      <alignment vertical="top"/>
    </xf>
    <xf numFmtId="0" fontId="28" fillId="7" borderId="66" xfId="0" applyFont="1" applyFill="1" applyBorder="1" applyAlignment="1">
      <alignment vertical="top"/>
    </xf>
    <xf numFmtId="0" fontId="28" fillId="7" borderId="29" xfId="0" applyFont="1" applyFill="1" applyBorder="1" applyAlignment="1">
      <alignment vertical="top"/>
    </xf>
    <xf numFmtId="0" fontId="28" fillId="7" borderId="54" xfId="0" applyFont="1" applyFill="1" applyBorder="1" applyAlignment="1">
      <alignment vertical="top"/>
    </xf>
    <xf numFmtId="0" fontId="28" fillId="7" borderId="58" xfId="0" applyFont="1" applyFill="1" applyBorder="1" applyAlignment="1">
      <alignment vertical="top"/>
    </xf>
    <xf numFmtId="0" fontId="28" fillId="7" borderId="56" xfId="0" applyFont="1" applyFill="1" applyBorder="1" applyAlignment="1">
      <alignment vertical="top"/>
    </xf>
    <xf numFmtId="3" fontId="28" fillId="7" borderId="67" xfId="0" applyNumberFormat="1" applyFont="1" applyFill="1" applyBorder="1" applyAlignment="1">
      <alignment vertical="top"/>
    </xf>
    <xf numFmtId="0" fontId="28" fillId="7" borderId="57" xfId="0" applyFont="1" applyFill="1" applyBorder="1" applyAlignment="1">
      <alignment vertical="top"/>
    </xf>
    <xf numFmtId="0" fontId="0" fillId="0" borderId="54" xfId="0" applyBorder="1"/>
    <xf numFmtId="0" fontId="10" fillId="0" borderId="0" xfId="0" applyFont="1" applyAlignment="1">
      <alignment horizontal="left" vertical="top"/>
    </xf>
    <xf numFmtId="164" fontId="13" fillId="4" borderId="51" xfId="0" applyNumberFormat="1" applyFont="1" applyFill="1" applyBorder="1" applyAlignment="1">
      <alignment horizontal="center" vertical="top" wrapText="1"/>
    </xf>
    <xf numFmtId="0" fontId="31" fillId="0" borderId="39" xfId="0" applyFont="1" applyBorder="1" applyAlignment="1">
      <alignment vertical="top" wrapText="1"/>
    </xf>
    <xf numFmtId="0" fontId="31" fillId="0" borderId="73" xfId="0" applyFont="1" applyBorder="1" applyAlignment="1">
      <alignment vertical="top" wrapText="1"/>
    </xf>
    <xf numFmtId="0" fontId="4" fillId="0" borderId="0" xfId="0" applyFont="1" applyAlignment="1">
      <alignment vertical="top"/>
    </xf>
    <xf numFmtId="3" fontId="24" fillId="7" borderId="27" xfId="0" applyNumberFormat="1" applyFont="1" applyFill="1" applyBorder="1" applyAlignment="1">
      <alignment vertical="top"/>
    </xf>
    <xf numFmtId="0" fontId="23" fillId="7" borderId="27" xfId="0" applyFont="1" applyFill="1" applyBorder="1" applyAlignment="1">
      <alignment vertical="top"/>
    </xf>
    <xf numFmtId="0" fontId="24" fillId="7" borderId="27" xfId="0" applyFont="1" applyFill="1" applyBorder="1" applyAlignment="1">
      <alignment vertical="top"/>
    </xf>
    <xf numFmtId="0" fontId="23" fillId="7" borderId="66" xfId="0" applyFont="1" applyFill="1" applyBorder="1" applyAlignment="1">
      <alignment vertical="top"/>
    </xf>
    <xf numFmtId="0" fontId="23" fillId="7" borderId="29" xfId="0" applyFont="1" applyFill="1" applyBorder="1" applyAlignment="1">
      <alignment vertical="top"/>
    </xf>
    <xf numFmtId="3" fontId="23" fillId="7" borderId="62" xfId="0" applyNumberFormat="1" applyFont="1" applyFill="1" applyBorder="1" applyAlignment="1">
      <alignment vertical="top"/>
    </xf>
    <xf numFmtId="0" fontId="23" fillId="7" borderId="54" xfId="0" applyFont="1" applyFill="1" applyBorder="1" applyAlignment="1">
      <alignment vertical="top"/>
    </xf>
    <xf numFmtId="0" fontId="23" fillId="7" borderId="65" xfId="0" applyFont="1" applyFill="1" applyBorder="1" applyAlignment="1">
      <alignment vertical="top"/>
    </xf>
    <xf numFmtId="3" fontId="23" fillId="7" borderId="64" xfId="0" applyNumberFormat="1" applyFont="1" applyFill="1" applyBorder="1" applyAlignment="1">
      <alignment vertical="top"/>
    </xf>
    <xf numFmtId="0" fontId="23" fillId="7" borderId="58" xfId="0" applyFont="1" applyFill="1" applyBorder="1" applyAlignment="1">
      <alignment vertical="top"/>
    </xf>
    <xf numFmtId="3" fontId="24" fillId="7" borderId="61" xfId="0" applyNumberFormat="1" applyFont="1" applyFill="1" applyBorder="1" applyAlignment="1">
      <alignment vertical="top"/>
    </xf>
    <xf numFmtId="0" fontId="24" fillId="7" borderId="61" xfId="0" applyFont="1" applyFill="1" applyBorder="1" applyAlignment="1">
      <alignment vertical="top"/>
    </xf>
    <xf numFmtId="3" fontId="23" fillId="7" borderId="56" xfId="0" applyNumberFormat="1" applyFont="1" applyFill="1" applyBorder="1" applyAlignment="1">
      <alignment vertical="top"/>
    </xf>
    <xf numFmtId="0" fontId="23" fillId="7" borderId="56" xfId="0" applyFont="1" applyFill="1" applyBorder="1" applyAlignment="1">
      <alignment vertical="top"/>
    </xf>
    <xf numFmtId="3" fontId="23" fillId="7" borderId="67" xfId="0" applyNumberFormat="1" applyFont="1" applyFill="1" applyBorder="1" applyAlignment="1">
      <alignment vertical="top"/>
    </xf>
    <xf numFmtId="0" fontId="23" fillId="7" borderId="57" xfId="0" applyFont="1" applyFill="1" applyBorder="1" applyAlignment="1">
      <alignment vertical="top"/>
    </xf>
    <xf numFmtId="3" fontId="23" fillId="7" borderId="65" xfId="0" applyNumberFormat="1" applyFont="1" applyFill="1" applyBorder="1" applyAlignment="1">
      <alignment vertical="top"/>
    </xf>
    <xf numFmtId="3" fontId="24" fillId="7" borderId="44" xfId="0" applyNumberFormat="1" applyFont="1" applyFill="1" applyBorder="1" applyAlignment="1">
      <alignment vertical="top"/>
    </xf>
    <xf numFmtId="0" fontId="23" fillId="7" borderId="78" xfId="0" applyFont="1" applyFill="1" applyBorder="1" applyAlignment="1">
      <alignment vertical="top"/>
    </xf>
    <xf numFmtId="3" fontId="23" fillId="7" borderId="79" xfId="0" applyNumberFormat="1" applyFont="1" applyFill="1" applyBorder="1" applyAlignment="1">
      <alignment vertical="top"/>
    </xf>
    <xf numFmtId="0" fontId="23" fillId="7" borderId="80" xfId="0" applyFont="1" applyFill="1" applyBorder="1" applyAlignment="1">
      <alignment vertical="top"/>
    </xf>
    <xf numFmtId="3" fontId="23" fillId="7" borderId="2" xfId="0" applyNumberFormat="1" applyFont="1" applyFill="1" applyBorder="1" applyAlignment="1">
      <alignment vertical="top"/>
    </xf>
    <xf numFmtId="0" fontId="23" fillId="7" borderId="74" xfId="0" applyFont="1" applyFill="1" applyBorder="1" applyAlignment="1">
      <alignment vertical="top"/>
    </xf>
    <xf numFmtId="0" fontId="0" fillId="0" borderId="78" xfId="0" applyBorder="1" applyAlignment="1">
      <alignment vertical="top"/>
    </xf>
    <xf numFmtId="0" fontId="0" fillId="0" borderId="43" xfId="0" applyBorder="1" applyAlignment="1">
      <alignment vertical="top"/>
    </xf>
    <xf numFmtId="0" fontId="23" fillId="7" borderId="43" xfId="0" applyFont="1" applyFill="1" applyBorder="1" applyAlignment="1">
      <alignment vertical="top"/>
    </xf>
    <xf numFmtId="0" fontId="24" fillId="7" borderId="78" xfId="0" applyFont="1" applyFill="1" applyBorder="1" applyAlignment="1">
      <alignment vertical="top"/>
    </xf>
    <xf numFmtId="3" fontId="21" fillId="0" borderId="30" xfId="0" applyNumberFormat="1" applyFont="1" applyBorder="1" applyAlignment="1">
      <alignment horizontal="right" vertical="top" wrapText="1"/>
    </xf>
    <xf numFmtId="3" fontId="21" fillId="0" borderId="36" xfId="0" applyNumberFormat="1" applyFont="1" applyBorder="1" applyAlignment="1">
      <alignment horizontal="right" vertical="top" wrapText="1"/>
    </xf>
    <xf numFmtId="0" fontId="32" fillId="0" borderId="52" xfId="0" applyFont="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35"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0" fontId="28" fillId="7" borderId="0" xfId="0" applyFont="1" applyFill="1" applyAlignment="1">
      <alignment vertical="top"/>
    </xf>
    <xf numFmtId="3" fontId="28" fillId="7" borderId="0" xfId="0" applyNumberFormat="1" applyFont="1" applyFill="1" applyAlignment="1">
      <alignment vertical="top"/>
    </xf>
    <xf numFmtId="3" fontId="23" fillId="7" borderId="71" xfId="0" applyNumberFormat="1" applyFont="1" applyFill="1" applyBorder="1" applyAlignment="1">
      <alignment vertical="top"/>
    </xf>
    <xf numFmtId="0" fontId="23" fillId="7" borderId="75" xfId="0" applyFont="1" applyFill="1" applyBorder="1" applyAlignment="1">
      <alignment vertical="top"/>
    </xf>
    <xf numFmtId="3" fontId="24" fillId="7" borderId="70" xfId="0" applyNumberFormat="1" applyFont="1" applyFill="1" applyBorder="1" applyAlignment="1">
      <alignment vertical="top"/>
    </xf>
    <xf numFmtId="0" fontId="23" fillId="7" borderId="81" xfId="0" applyFont="1" applyFill="1" applyBorder="1" applyAlignment="1">
      <alignment vertical="top"/>
    </xf>
    <xf numFmtId="0" fontId="0" fillId="0" borderId="82" xfId="0" applyBorder="1" applyAlignment="1">
      <alignment vertical="top"/>
    </xf>
    <xf numFmtId="0" fontId="38" fillId="0" borderId="0" xfId="0" applyFont="1" applyAlignment="1">
      <alignment horizontal="left" vertical="top" wrapText="1"/>
    </xf>
    <xf numFmtId="0" fontId="0" fillId="0" borderId="11" xfId="0" applyBorder="1" applyAlignment="1">
      <alignment vertical="top"/>
    </xf>
    <xf numFmtId="3" fontId="28" fillId="7" borderId="79" xfId="0" applyNumberFormat="1" applyFont="1" applyFill="1" applyBorder="1" applyAlignment="1">
      <alignment vertical="top"/>
    </xf>
    <xf numFmtId="3" fontId="26" fillId="7" borderId="79" xfId="0" applyNumberFormat="1" applyFont="1" applyFill="1" applyBorder="1" applyAlignment="1">
      <alignment vertical="top"/>
    </xf>
    <xf numFmtId="3" fontId="26" fillId="7" borderId="70" xfId="0" applyNumberFormat="1" applyFont="1" applyFill="1" applyBorder="1" applyAlignment="1">
      <alignment vertical="top"/>
    </xf>
    <xf numFmtId="0" fontId="28" fillId="7" borderId="8" xfId="0" applyFont="1" applyFill="1" applyBorder="1" applyAlignment="1">
      <alignment vertical="top"/>
    </xf>
    <xf numFmtId="3" fontId="26" fillId="7" borderId="8" xfId="0" applyNumberFormat="1" applyFont="1" applyFill="1" applyBorder="1" applyAlignment="1">
      <alignment vertical="top"/>
    </xf>
    <xf numFmtId="0" fontId="26" fillId="7" borderId="8" xfId="0" applyFont="1" applyFill="1" applyBorder="1" applyAlignment="1">
      <alignment vertical="top"/>
    </xf>
    <xf numFmtId="0" fontId="28" fillId="7" borderId="10" xfId="0" applyFont="1" applyFill="1" applyBorder="1" applyAlignment="1">
      <alignment vertical="top"/>
    </xf>
    <xf numFmtId="0" fontId="28" fillId="3" borderId="0" xfId="0" applyFont="1" applyFill="1" applyAlignment="1">
      <alignment vertical="top"/>
    </xf>
    <xf numFmtId="0" fontId="0" fillId="3" borderId="42" xfId="0" applyFill="1" applyBorder="1" applyAlignment="1">
      <alignment vertical="top"/>
    </xf>
    <xf numFmtId="3" fontId="26" fillId="7" borderId="43" xfId="0" applyNumberFormat="1" applyFont="1" applyFill="1" applyBorder="1" applyAlignment="1">
      <alignment vertical="top"/>
    </xf>
    <xf numFmtId="0" fontId="28" fillId="7" borderId="43" xfId="0" applyFont="1" applyFill="1" applyBorder="1" applyAlignment="1">
      <alignment vertical="top"/>
    </xf>
    <xf numFmtId="0" fontId="26" fillId="7" borderId="43" xfId="0" applyFont="1" applyFill="1" applyBorder="1" applyAlignment="1">
      <alignment vertical="top"/>
    </xf>
    <xf numFmtId="3" fontId="26" fillId="7" borderId="44" xfId="0" applyNumberFormat="1" applyFont="1" applyFill="1" applyBorder="1" applyAlignment="1">
      <alignment vertical="top"/>
    </xf>
    <xf numFmtId="3" fontId="26" fillId="7" borderId="40" xfId="0" applyNumberFormat="1" applyFont="1" applyFill="1" applyBorder="1" applyAlignment="1">
      <alignment vertical="top"/>
    </xf>
    <xf numFmtId="0" fontId="0" fillId="3" borderId="2" xfId="0" applyFill="1" applyBorder="1" applyAlignment="1">
      <alignment vertical="top"/>
    </xf>
    <xf numFmtId="0" fontId="26" fillId="10" borderId="28" xfId="0" applyFont="1" applyFill="1" applyBorder="1" applyAlignment="1">
      <alignment horizontal="center" vertical="top"/>
    </xf>
    <xf numFmtId="0" fontId="28" fillId="10" borderId="27" xfId="0" applyFont="1" applyFill="1" applyBorder="1" applyAlignment="1">
      <alignment horizontal="center" vertical="top"/>
    </xf>
    <xf numFmtId="0" fontId="28"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25" fillId="3" borderId="42" xfId="0" applyFont="1" applyFill="1" applyBorder="1" applyAlignment="1">
      <alignment horizontal="left" vertical="top"/>
    </xf>
    <xf numFmtId="0" fontId="0" fillId="3" borderId="54" xfId="0" applyFill="1" applyBorder="1" applyAlignment="1">
      <alignment vertical="top"/>
    </xf>
    <xf numFmtId="0" fontId="0" fillId="3" borderId="59" xfId="0" applyFill="1" applyBorder="1" applyAlignment="1">
      <alignment vertical="top"/>
    </xf>
    <xf numFmtId="0" fontId="28" fillId="7" borderId="81" xfId="0" applyFont="1" applyFill="1" applyBorder="1" applyAlignment="1">
      <alignment vertical="top"/>
    </xf>
    <xf numFmtId="0" fontId="26" fillId="7" borderId="81" xfId="0" applyFont="1" applyFill="1" applyBorder="1" applyAlignment="1">
      <alignment vertical="top"/>
    </xf>
    <xf numFmtId="0" fontId="0" fillId="0" borderId="19" xfId="0" applyBorder="1" applyAlignment="1">
      <alignment vertical="top"/>
    </xf>
    <xf numFmtId="0" fontId="0" fillId="0" borderId="80" xfId="0" applyBorder="1" applyAlignment="1">
      <alignment vertical="top"/>
    </xf>
    <xf numFmtId="0" fontId="23" fillId="7" borderId="82" xfId="0" applyFont="1" applyFill="1" applyBorder="1" applyAlignment="1">
      <alignment vertical="top"/>
    </xf>
    <xf numFmtId="3" fontId="26" fillId="7" borderId="87" xfId="0" applyNumberFormat="1" applyFont="1" applyFill="1" applyBorder="1" applyAlignment="1">
      <alignment vertical="top"/>
    </xf>
    <xf numFmtId="0" fontId="26" fillId="7" borderId="78" xfId="0" applyFont="1" applyFill="1" applyBorder="1" applyAlignment="1">
      <alignment vertical="top"/>
    </xf>
    <xf numFmtId="3" fontId="24" fillId="7" borderId="87" xfId="0" applyNumberFormat="1" applyFont="1" applyFill="1" applyBorder="1" applyAlignment="1">
      <alignment vertical="top"/>
    </xf>
    <xf numFmtId="0" fontId="23" fillId="7" borderId="89" xfId="0" applyFont="1" applyFill="1" applyBorder="1" applyAlignment="1">
      <alignment vertical="top"/>
    </xf>
    <xf numFmtId="0" fontId="24" fillId="7" borderId="81" xfId="0" applyFont="1" applyFill="1" applyBorder="1" applyAlignment="1">
      <alignment vertical="top"/>
    </xf>
    <xf numFmtId="0" fontId="24" fillId="7" borderId="89" xfId="0" applyFont="1" applyFill="1" applyBorder="1" applyAlignment="1">
      <alignment vertical="top"/>
    </xf>
    <xf numFmtId="0" fontId="38" fillId="0" borderId="3" xfId="0" applyFont="1" applyBorder="1" applyAlignment="1">
      <alignment horizontal="left" vertical="top" wrapText="1"/>
    </xf>
    <xf numFmtId="0" fontId="39" fillId="0" borderId="3" xfId="0" applyFont="1" applyBorder="1" applyAlignment="1">
      <alignment horizontal="right" vertical="top" wrapText="1"/>
    </xf>
    <xf numFmtId="3" fontId="24" fillId="7" borderId="79" xfId="0" applyNumberFormat="1" applyFont="1" applyFill="1" applyBorder="1" applyAlignment="1">
      <alignment vertical="top"/>
    </xf>
    <xf numFmtId="0" fontId="0" fillId="3" borderId="44" xfId="0" applyFill="1" applyBorder="1" applyAlignment="1">
      <alignment vertical="top"/>
    </xf>
    <xf numFmtId="0" fontId="0" fillId="3" borderId="88" xfId="0" applyFill="1" applyBorder="1" applyAlignment="1">
      <alignment vertical="top"/>
    </xf>
    <xf numFmtId="0" fontId="0" fillId="3" borderId="11" xfId="0" applyFill="1" applyBorder="1" applyAlignment="1">
      <alignment vertical="top"/>
    </xf>
    <xf numFmtId="0" fontId="2" fillId="0" borderId="0" xfId="0" applyFont="1" applyAlignment="1">
      <alignment vertical="top"/>
    </xf>
    <xf numFmtId="0" fontId="26" fillId="6" borderId="84" xfId="0" applyFont="1" applyFill="1" applyBorder="1" applyAlignment="1">
      <alignment horizontal="center" vertical="top" wrapText="1"/>
    </xf>
    <xf numFmtId="0" fontId="40" fillId="3" borderId="54" xfId="0" applyFont="1" applyFill="1" applyBorder="1" applyAlignment="1">
      <alignment vertical="top"/>
    </xf>
    <xf numFmtId="0" fontId="40" fillId="3" borderId="56" xfId="0" applyFont="1" applyFill="1" applyBorder="1" applyAlignment="1">
      <alignment vertical="top"/>
    </xf>
    <xf numFmtId="0" fontId="40" fillId="3" borderId="27" xfId="0" applyFont="1" applyFill="1" applyBorder="1" applyAlignment="1">
      <alignment vertical="top"/>
    </xf>
    <xf numFmtId="3" fontId="41" fillId="0" borderId="3" xfId="0" applyNumberFormat="1" applyFont="1" applyBorder="1" applyAlignment="1">
      <alignment vertical="top"/>
    </xf>
    <xf numFmtId="0" fontId="41"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2" fillId="0" borderId="41" xfId="0" applyNumberFormat="1" applyFont="1" applyBorder="1" applyAlignment="1">
      <alignment vertical="top"/>
    </xf>
    <xf numFmtId="3" fontId="42" fillId="0" borderId="17" xfId="0" applyNumberFormat="1" applyFont="1" applyBorder="1" applyAlignment="1">
      <alignment vertical="top"/>
    </xf>
    <xf numFmtId="3" fontId="42" fillId="0" borderId="15" xfId="0" applyNumberFormat="1" applyFont="1" applyBorder="1" applyAlignment="1">
      <alignment vertical="top"/>
    </xf>
    <xf numFmtId="3" fontId="42" fillId="0" borderId="35" xfId="0" applyNumberFormat="1" applyFont="1" applyBorder="1" applyAlignment="1">
      <alignment vertical="top"/>
    </xf>
    <xf numFmtId="0" fontId="37" fillId="9" borderId="3" xfId="0" applyFont="1" applyFill="1" applyBorder="1" applyAlignment="1">
      <alignment horizontal="center" vertical="top" wrapText="1"/>
    </xf>
    <xf numFmtId="0" fontId="36" fillId="9" borderId="3" xfId="0" applyFont="1" applyFill="1" applyBorder="1" applyAlignment="1">
      <alignment horizontal="left" vertical="top" wrapText="1"/>
    </xf>
    <xf numFmtId="3" fontId="37" fillId="9" borderId="3" xfId="0" applyNumberFormat="1" applyFont="1" applyFill="1" applyBorder="1" applyAlignment="1">
      <alignment horizontal="right" vertical="top" wrapText="1"/>
    </xf>
    <xf numFmtId="9" fontId="37" fillId="9" borderId="3" xfId="0" applyNumberFormat="1" applyFont="1" applyFill="1" applyBorder="1" applyAlignment="1">
      <alignment horizontal="right" vertical="top" wrapText="1"/>
    </xf>
    <xf numFmtId="3" fontId="38" fillId="0" borderId="3" xfId="0" applyNumberFormat="1" applyFont="1" applyBorder="1" applyAlignment="1">
      <alignment horizontal="right" vertical="top" wrapText="1"/>
    </xf>
    <xf numFmtId="9" fontId="38" fillId="0" borderId="3" xfId="0" applyNumberFormat="1" applyFont="1" applyBorder="1" applyAlignment="1">
      <alignment horizontal="right" vertical="top" wrapText="1"/>
    </xf>
    <xf numFmtId="0" fontId="37" fillId="9" borderId="3" xfId="0" applyFont="1" applyFill="1" applyBorder="1" applyAlignment="1">
      <alignment horizontal="left" vertical="top" wrapText="1"/>
    </xf>
    <xf numFmtId="3" fontId="37" fillId="0" borderId="3" xfId="0" applyNumberFormat="1" applyFont="1" applyBorder="1" applyAlignment="1">
      <alignment horizontal="right" vertical="top" wrapText="1"/>
    </xf>
    <xf numFmtId="3" fontId="37" fillId="0" borderId="3" xfId="0" applyNumberFormat="1" applyFont="1" applyBorder="1" applyAlignment="1">
      <alignment horizontal="left" vertical="top" wrapText="1"/>
    </xf>
    <xf numFmtId="3" fontId="38" fillId="0" borderId="0" xfId="0" applyNumberFormat="1" applyFont="1" applyAlignment="1">
      <alignment horizontal="right" vertical="top" wrapText="1"/>
    </xf>
    <xf numFmtId="3" fontId="38" fillId="0" borderId="0" xfId="0" applyNumberFormat="1" applyFont="1" applyAlignment="1">
      <alignment horizontal="left" vertical="top" wrapText="1"/>
    </xf>
    <xf numFmtId="14" fontId="37" fillId="9" borderId="3" xfId="0" applyNumberFormat="1" applyFont="1" applyFill="1" applyBorder="1" applyAlignment="1">
      <alignment horizontal="center" vertical="top" wrapText="1"/>
    </xf>
    <xf numFmtId="3" fontId="37" fillId="9" borderId="1" xfId="0" applyNumberFormat="1" applyFont="1" applyFill="1" applyBorder="1" applyAlignment="1">
      <alignment horizontal="center" vertical="top" wrapText="1"/>
    </xf>
    <xf numFmtId="0" fontId="37" fillId="9" borderId="1" xfId="0" applyFont="1" applyFill="1" applyBorder="1" applyAlignment="1">
      <alignment horizontal="center" vertical="top" wrapText="1"/>
    </xf>
    <xf numFmtId="0" fontId="3" fillId="0" borderId="0" xfId="0" applyFont="1" applyAlignment="1">
      <alignment vertical="top"/>
    </xf>
    <xf numFmtId="165" fontId="0" fillId="0" borderId="0" xfId="0" applyNumberFormat="1"/>
    <xf numFmtId="4" fontId="38" fillId="0" borderId="0" xfId="0" applyNumberFormat="1" applyFont="1" applyAlignment="1">
      <alignment horizontal="left" vertical="top" wrapText="1"/>
    </xf>
    <xf numFmtId="0" fontId="0" fillId="3" borderId="11" xfId="0" applyFill="1" applyBorder="1" applyAlignment="1">
      <alignment horizontal="center" vertical="top" wrapText="1"/>
    </xf>
    <xf numFmtId="3" fontId="18" fillId="0" borderId="32" xfId="0" applyNumberFormat="1"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0" fontId="16" fillId="4" borderId="10" xfId="0" applyFont="1" applyFill="1" applyBorder="1" applyAlignment="1">
      <alignment horizontal="center" vertical="top"/>
    </xf>
    <xf numFmtId="0" fontId="16" fillId="4" borderId="8" xfId="0" applyFont="1" applyFill="1" applyBorder="1" applyAlignment="1">
      <alignment horizontal="center" vertical="top"/>
    </xf>
    <xf numFmtId="0" fontId="2" fillId="11" borderId="3" xfId="0" applyFont="1" applyFill="1" applyBorder="1" applyAlignment="1" applyProtection="1">
      <alignment vertical="top"/>
      <protection locked="0"/>
    </xf>
    <xf numFmtId="3" fontId="15" fillId="12" borderId="14" xfId="0" applyNumberFormat="1" applyFont="1" applyFill="1" applyBorder="1" applyAlignment="1">
      <alignment vertical="top"/>
    </xf>
    <xf numFmtId="3" fontId="18" fillId="12" borderId="31" xfId="0" applyNumberFormat="1" applyFont="1" applyFill="1" applyBorder="1" applyAlignment="1">
      <alignment vertical="top"/>
    </xf>
    <xf numFmtId="3" fontId="42" fillId="12" borderId="1" xfId="0" applyNumberFormat="1" applyFont="1" applyFill="1" applyBorder="1" applyAlignment="1">
      <alignment vertical="top"/>
    </xf>
    <xf numFmtId="3" fontId="42" fillId="12" borderId="22" xfId="0" applyNumberFormat="1" applyFont="1" applyFill="1" applyBorder="1" applyAlignment="1">
      <alignment vertical="top"/>
    </xf>
    <xf numFmtId="3" fontId="42" fillId="12" borderId="2" xfId="0" applyNumberFormat="1" applyFont="1" applyFill="1" applyBorder="1" applyAlignment="1">
      <alignment vertical="top"/>
    </xf>
    <xf numFmtId="3" fontId="42" fillId="12" borderId="38" xfId="0" applyNumberFormat="1" applyFont="1" applyFill="1" applyBorder="1" applyAlignment="1">
      <alignment vertical="top"/>
    </xf>
    <xf numFmtId="3" fontId="42" fillId="12" borderId="14" xfId="0" applyNumberFormat="1" applyFont="1" applyFill="1" applyBorder="1" applyAlignment="1">
      <alignment vertical="top"/>
    </xf>
    <xf numFmtId="0" fontId="17" fillId="12" borderId="38" xfId="0" applyFont="1" applyFill="1" applyBorder="1" applyAlignment="1">
      <alignment vertical="top"/>
    </xf>
    <xf numFmtId="0" fontId="17" fillId="12" borderId="39" xfId="0" applyFont="1" applyFill="1" applyBorder="1" applyAlignment="1">
      <alignment vertical="top" wrapText="1"/>
    </xf>
    <xf numFmtId="3" fontId="18" fillId="12" borderId="5" xfId="0" applyNumberFormat="1" applyFont="1" applyFill="1" applyBorder="1" applyAlignment="1">
      <alignment vertical="top"/>
    </xf>
    <xf numFmtId="3" fontId="18" fillId="12" borderId="4" xfId="0" applyNumberFormat="1" applyFont="1" applyFill="1" applyBorder="1" applyAlignment="1">
      <alignment vertical="top"/>
    </xf>
    <xf numFmtId="3" fontId="18" fillId="12" borderId="3" xfId="0" applyNumberFormat="1" applyFont="1" applyFill="1" applyBorder="1" applyAlignment="1">
      <alignment vertical="top"/>
    </xf>
    <xf numFmtId="0" fontId="14" fillId="12" borderId="1" xfId="0" applyFont="1" applyFill="1" applyBorder="1" applyAlignment="1">
      <alignment horizontal="left" vertical="top" wrapText="1"/>
    </xf>
    <xf numFmtId="0" fontId="17" fillId="12" borderId="1" xfId="0" applyFont="1" applyFill="1" applyBorder="1" applyAlignment="1">
      <alignment horizontal="left" vertical="top" wrapText="1"/>
    </xf>
    <xf numFmtId="0" fontId="17" fillId="12" borderId="38" xfId="0" applyFont="1" applyFill="1" applyBorder="1" applyAlignment="1">
      <alignment vertical="top" wrapText="1"/>
    </xf>
    <xf numFmtId="0" fontId="17" fillId="12" borderId="3" xfId="0" applyFont="1" applyFill="1" applyBorder="1" applyAlignment="1">
      <alignment horizontal="left" vertical="top" wrapText="1"/>
    </xf>
    <xf numFmtId="0" fontId="14" fillId="12" borderId="3" xfId="0" applyFont="1" applyFill="1" applyBorder="1" applyAlignment="1">
      <alignment horizontal="left" vertical="top" wrapText="1"/>
    </xf>
    <xf numFmtId="3" fontId="18" fillId="12" borderId="11" xfId="0" applyNumberFormat="1" applyFont="1" applyFill="1" applyBorder="1" applyAlignment="1">
      <alignment vertical="top"/>
    </xf>
    <xf numFmtId="3" fontId="18" fillId="12" borderId="12" xfId="0" applyNumberFormat="1" applyFont="1" applyFill="1" applyBorder="1" applyAlignment="1">
      <alignment vertical="top"/>
    </xf>
    <xf numFmtId="3" fontId="42" fillId="12" borderId="20" xfId="0" applyNumberFormat="1" applyFont="1" applyFill="1" applyBorder="1" applyAlignment="1">
      <alignment vertical="top"/>
    </xf>
    <xf numFmtId="3" fontId="42" fillId="12" borderId="11" xfId="0" applyNumberFormat="1" applyFont="1" applyFill="1" applyBorder="1" applyAlignment="1">
      <alignment vertical="top"/>
    </xf>
    <xf numFmtId="3" fontId="42" fillId="12" borderId="26" xfId="0" applyNumberFormat="1" applyFont="1" applyFill="1" applyBorder="1" applyAlignment="1">
      <alignment vertical="top"/>
    </xf>
    <xf numFmtId="3" fontId="42" fillId="12" borderId="12" xfId="0" applyNumberFormat="1" applyFont="1" applyFill="1" applyBorder="1" applyAlignment="1">
      <alignment vertical="top"/>
    </xf>
    <xf numFmtId="0" fontId="17" fillId="12" borderId="26" xfId="0" applyFont="1" applyFill="1" applyBorder="1" applyAlignment="1">
      <alignment vertical="top"/>
    </xf>
    <xf numFmtId="3" fontId="43" fillId="12" borderId="13" xfId="0" applyNumberFormat="1" applyFont="1" applyFill="1" applyBorder="1" applyAlignment="1">
      <alignment horizontal="right" vertical="top"/>
    </xf>
    <xf numFmtId="3" fontId="43" fillId="12" borderId="3" xfId="0" applyNumberFormat="1" applyFont="1" applyFill="1" applyBorder="1" applyAlignment="1">
      <alignment horizontal="right" vertical="top"/>
    </xf>
    <xf numFmtId="3" fontId="43" fillId="12" borderId="12" xfId="0" applyNumberFormat="1" applyFont="1" applyFill="1" applyBorder="1" applyAlignment="1">
      <alignment horizontal="right" vertical="top"/>
    </xf>
    <xf numFmtId="0" fontId="2" fillId="12" borderId="38" xfId="0" applyFont="1" applyFill="1" applyBorder="1" applyAlignment="1">
      <alignment vertical="top" wrapText="1"/>
    </xf>
    <xf numFmtId="0" fontId="2" fillId="12" borderId="39" xfId="0" applyFont="1" applyFill="1" applyBorder="1" applyAlignment="1">
      <alignment vertical="top" wrapText="1"/>
    </xf>
    <xf numFmtId="0" fontId="14" fillId="12" borderId="45" xfId="0" applyFont="1" applyFill="1" applyBorder="1" applyAlignment="1">
      <alignment horizontal="left" vertical="top" wrapText="1"/>
    </xf>
    <xf numFmtId="0" fontId="17" fillId="12" borderId="45" xfId="0" applyFont="1" applyFill="1" applyBorder="1" applyAlignment="1">
      <alignment horizontal="left" vertical="top" wrapText="1"/>
    </xf>
    <xf numFmtId="0" fontId="14" fillId="12" borderId="21" xfId="0" applyFont="1" applyFill="1" applyBorder="1" applyAlignment="1">
      <alignment horizontal="left" vertical="top" wrapText="1"/>
    </xf>
    <xf numFmtId="3" fontId="43" fillId="12" borderId="49" xfId="0" applyNumberFormat="1" applyFont="1" applyFill="1" applyBorder="1" applyAlignment="1">
      <alignment horizontal="right" vertical="top"/>
    </xf>
    <xf numFmtId="3" fontId="43" fillId="12" borderId="44" xfId="0" applyNumberFormat="1" applyFont="1" applyFill="1" applyBorder="1" applyAlignment="1">
      <alignment horizontal="right" vertical="top"/>
    </xf>
    <xf numFmtId="3" fontId="43" fillId="12" borderId="47" xfId="0" applyNumberFormat="1" applyFont="1" applyFill="1" applyBorder="1" applyAlignment="1">
      <alignment horizontal="right" vertical="top"/>
    </xf>
    <xf numFmtId="0" fontId="17" fillId="12" borderId="49" xfId="0" applyFont="1" applyFill="1" applyBorder="1" applyAlignment="1">
      <alignment vertical="top"/>
    </xf>
    <xf numFmtId="0" fontId="17" fillId="12" borderId="46" xfId="0" applyFont="1" applyFill="1" applyBorder="1" applyAlignment="1">
      <alignment vertical="top" wrapText="1"/>
    </xf>
    <xf numFmtId="0" fontId="17" fillId="12" borderId="1" xfId="1" applyFont="1" applyFill="1" applyBorder="1" applyAlignment="1">
      <alignment horizontal="left" vertical="top" wrapText="1"/>
    </xf>
    <xf numFmtId="0" fontId="17" fillId="12" borderId="31" xfId="0" applyFont="1" applyFill="1" applyBorder="1" applyAlignment="1">
      <alignment horizontal="left" vertical="top" wrapText="1"/>
    </xf>
    <xf numFmtId="0" fontId="17" fillId="12" borderId="3" xfId="1" applyFont="1" applyFill="1" applyBorder="1" applyAlignment="1">
      <alignment horizontal="left" vertical="top" wrapText="1"/>
    </xf>
    <xf numFmtId="0" fontId="17" fillId="12" borderId="0" xfId="0" applyFont="1" applyFill="1" applyAlignment="1">
      <alignment vertical="top" wrapText="1"/>
    </xf>
    <xf numFmtId="0" fontId="17" fillId="12" borderId="21" xfId="1" applyFont="1" applyFill="1" applyBorder="1" applyAlignment="1">
      <alignment horizontal="left" vertical="top" wrapText="1"/>
    </xf>
    <xf numFmtId="49" fontId="12" fillId="4" borderId="8"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xf>
    <xf numFmtId="1" fontId="12" fillId="4" borderId="8" xfId="0" applyNumberFormat="1" applyFont="1" applyFill="1" applyBorder="1" applyAlignment="1">
      <alignment horizontal="center" vertical="top" wrapText="1"/>
    </xf>
    <xf numFmtId="49" fontId="11" fillId="4" borderId="8" xfId="0" applyNumberFormat="1" applyFont="1" applyFill="1" applyBorder="1" applyAlignment="1">
      <alignment horizontal="center" vertical="top" wrapText="1"/>
    </xf>
    <xf numFmtId="1" fontId="11" fillId="4" borderId="8" xfId="0" applyNumberFormat="1" applyFont="1" applyFill="1" applyBorder="1" applyAlignment="1">
      <alignment horizontal="center" vertical="top" wrapText="1"/>
    </xf>
    <xf numFmtId="0" fontId="11"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18" fillId="0" borderId="18" xfId="0" applyNumberFormat="1" applyFont="1" applyBorder="1" applyAlignment="1">
      <alignment vertical="top"/>
    </xf>
    <xf numFmtId="3" fontId="18" fillId="0" borderId="16" xfId="0" applyNumberFormat="1" applyFont="1" applyBorder="1" applyAlignment="1">
      <alignment vertical="top"/>
    </xf>
    <xf numFmtId="49" fontId="12" fillId="4" borderId="10" xfId="0" applyNumberFormat="1" applyFont="1" applyFill="1" applyBorder="1" applyAlignment="1">
      <alignment horizontal="center" vertical="top" wrapText="1"/>
    </xf>
    <xf numFmtId="49" fontId="10"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1"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0" fillId="0" borderId="30" xfId="0" applyFont="1" applyBorder="1" applyAlignment="1">
      <alignment vertical="top"/>
    </xf>
    <xf numFmtId="3" fontId="42" fillId="12" borderId="5" xfId="0" applyNumberFormat="1" applyFont="1" applyFill="1" applyBorder="1" applyAlignment="1">
      <alignment vertical="top"/>
    </xf>
    <xf numFmtId="3" fontId="42" fillId="0" borderId="76"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93" xfId="0" applyFont="1" applyFill="1" applyBorder="1" applyAlignment="1" applyProtection="1">
      <alignment vertical="top"/>
      <protection locked="0"/>
    </xf>
    <xf numFmtId="0" fontId="2" fillId="11" borderId="47" xfId="0" applyFont="1" applyFill="1" applyBorder="1" applyAlignment="1" applyProtection="1">
      <alignment vertical="top"/>
      <protection locked="0"/>
    </xf>
    <xf numFmtId="3" fontId="42" fillId="0" borderId="18" xfId="0" applyNumberFormat="1" applyFont="1" applyBorder="1" applyAlignment="1">
      <alignment vertical="top"/>
    </xf>
    <xf numFmtId="3" fontId="42" fillId="0" borderId="16" xfId="0" applyNumberFormat="1" applyFont="1" applyBorder="1" applyAlignment="1">
      <alignment vertical="top"/>
    </xf>
    <xf numFmtId="1" fontId="11" fillId="4" borderId="23" xfId="0" applyNumberFormat="1" applyFont="1" applyFill="1" applyBorder="1" applyAlignment="1">
      <alignment horizontal="center" vertical="top" wrapText="1"/>
    </xf>
    <xf numFmtId="0" fontId="17" fillId="12" borderId="26" xfId="0" applyFont="1" applyFill="1" applyBorder="1" applyAlignment="1">
      <alignment vertical="top" wrapText="1"/>
    </xf>
    <xf numFmtId="0" fontId="17" fillId="12" borderId="49" xfId="0" applyFont="1" applyFill="1" applyBorder="1" applyAlignment="1">
      <alignment vertical="top" wrapText="1"/>
    </xf>
    <xf numFmtId="0" fontId="17" fillId="12" borderId="46" xfId="0" applyFont="1" applyFill="1" applyBorder="1" applyAlignment="1">
      <alignment horizontal="center" vertical="top"/>
    </xf>
    <xf numFmtId="0" fontId="2" fillId="12" borderId="46" xfId="0" applyFont="1" applyFill="1" applyBorder="1" applyAlignment="1">
      <alignment vertical="top" wrapText="1"/>
    </xf>
    <xf numFmtId="0" fontId="0" fillId="0" borderId="3" xfId="0" applyBorder="1" applyAlignment="1">
      <alignment vertical="top"/>
    </xf>
    <xf numFmtId="0" fontId="0" fillId="3" borderId="3" xfId="0" applyFill="1" applyBorder="1" applyAlignment="1">
      <alignment vertical="top"/>
    </xf>
    <xf numFmtId="0" fontId="0" fillId="3" borderId="19" xfId="0" applyFill="1" applyBorder="1" applyAlignment="1">
      <alignment vertical="top"/>
    </xf>
    <xf numFmtId="0" fontId="1" fillId="3" borderId="0" xfId="0" applyFont="1" applyFill="1" applyAlignment="1">
      <alignment horizontal="left" vertical="top"/>
    </xf>
    <xf numFmtId="0" fontId="1" fillId="2" borderId="33" xfId="0" applyFont="1" applyFill="1" applyBorder="1" applyAlignment="1">
      <alignment vertical="top" wrapText="1"/>
    </xf>
    <xf numFmtId="0" fontId="0" fillId="0" borderId="36" xfId="0" applyBorder="1" applyAlignment="1">
      <alignment horizontal="left" vertical="top"/>
    </xf>
    <xf numFmtId="3" fontId="0" fillId="12" borderId="37" xfId="0" applyNumberFormat="1" applyFill="1" applyBorder="1" applyAlignment="1">
      <alignment horizontal="left" vertical="top" wrapText="1"/>
    </xf>
    <xf numFmtId="0" fontId="0" fillId="0" borderId="42" xfId="0" applyBorder="1" applyAlignment="1">
      <alignment horizontal="left" vertical="top"/>
    </xf>
    <xf numFmtId="3" fontId="42" fillId="12" borderId="69" xfId="0" applyNumberFormat="1" applyFont="1" applyFill="1" applyBorder="1" applyAlignment="1">
      <alignment vertical="top"/>
    </xf>
    <xf numFmtId="3" fontId="42" fillId="0" borderId="56" xfId="0" applyNumberFormat="1" applyFont="1" applyBorder="1" applyAlignment="1">
      <alignment vertical="top"/>
    </xf>
    <xf numFmtId="164" fontId="0" fillId="4" borderId="91" xfId="0" applyNumberFormat="1" applyFill="1" applyBorder="1" applyAlignment="1">
      <alignment horizontal="center" vertical="top" wrapText="1"/>
    </xf>
    <xf numFmtId="164" fontId="0" fillId="4" borderId="92" xfId="0" applyNumberFormat="1" applyFill="1" applyBorder="1" applyAlignment="1">
      <alignment horizontal="center" vertical="top" wrapText="1"/>
    </xf>
    <xf numFmtId="164" fontId="0" fillId="4" borderId="90" xfId="0" applyNumberFormat="1" applyFill="1" applyBorder="1" applyAlignment="1">
      <alignment horizontal="center" vertical="top" wrapText="1"/>
    </xf>
    <xf numFmtId="3" fontId="18" fillId="12" borderId="6" xfId="0" applyNumberFormat="1" applyFont="1" applyFill="1" applyBorder="1" applyAlignment="1">
      <alignment vertical="top"/>
    </xf>
    <xf numFmtId="3" fontId="18" fillId="12" borderId="13" xfId="0" applyNumberFormat="1" applyFont="1" applyFill="1" applyBorder="1" applyAlignment="1">
      <alignment vertical="top"/>
    </xf>
    <xf numFmtId="3" fontId="18" fillId="12" borderId="68" xfId="0" applyNumberFormat="1" applyFont="1" applyFill="1" applyBorder="1" applyAlignment="1">
      <alignment vertical="top"/>
    </xf>
    <xf numFmtId="3" fontId="43" fillId="12" borderId="19" xfId="0" applyNumberFormat="1" applyFont="1" applyFill="1" applyBorder="1" applyAlignment="1">
      <alignment horizontal="right" vertical="top"/>
    </xf>
    <xf numFmtId="3" fontId="43" fillId="12" borderId="43" xfId="0" applyNumberFormat="1" applyFont="1" applyFill="1" applyBorder="1" applyAlignment="1">
      <alignment horizontal="right" vertical="top"/>
    </xf>
    <xf numFmtId="164" fontId="0" fillId="4" borderId="81" xfId="0" applyNumberFormat="1" applyFill="1" applyBorder="1" applyAlignment="1">
      <alignment horizontal="center" vertical="top" wrapText="1"/>
    </xf>
    <xf numFmtId="164" fontId="0" fillId="4" borderId="70" xfId="0" applyNumberFormat="1" applyFill="1" applyBorder="1" applyAlignment="1">
      <alignment horizontal="center" vertical="top" wrapText="1"/>
    </xf>
    <xf numFmtId="3" fontId="42" fillId="12" borderId="3" xfId="0" applyNumberFormat="1" applyFont="1" applyFill="1" applyBorder="1" applyAlignment="1">
      <alignment vertical="top"/>
    </xf>
    <xf numFmtId="3" fontId="42" fillId="12" borderId="13" xfId="0" applyNumberFormat="1" applyFont="1" applyFill="1" applyBorder="1" applyAlignment="1">
      <alignment vertical="top"/>
    </xf>
    <xf numFmtId="0" fontId="44" fillId="0" borderId="0" xfId="0" applyFont="1" applyAlignment="1">
      <alignment vertical="top"/>
    </xf>
    <xf numFmtId="0" fontId="16" fillId="0" borderId="34" xfId="0" applyFont="1" applyBorder="1" applyAlignment="1">
      <alignment horizontal="left" vertical="top" wrapText="1"/>
    </xf>
    <xf numFmtId="0" fontId="10" fillId="4" borderId="8" xfId="0" applyFont="1" applyFill="1" applyBorder="1" applyAlignment="1">
      <alignment horizontal="center" vertical="top" wrapText="1"/>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45" fillId="0" borderId="0" xfId="0" applyFont="1" applyAlignment="1">
      <alignment vertical="top"/>
    </xf>
    <xf numFmtId="0" fontId="2" fillId="0" borderId="30" xfId="0" applyFont="1" applyBorder="1" applyAlignment="1">
      <alignment vertical="top" wrapText="1"/>
    </xf>
    <xf numFmtId="0" fontId="45" fillId="0" borderId="59" xfId="0" applyFont="1" applyBorder="1" applyAlignment="1">
      <alignment vertical="top" wrapText="1"/>
    </xf>
    <xf numFmtId="0" fontId="45" fillId="0" borderId="38" xfId="0" applyFont="1" applyBorder="1" applyAlignment="1">
      <alignment vertical="top" wrapText="1"/>
    </xf>
    <xf numFmtId="3" fontId="45" fillId="0" borderId="38"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45" fillId="0" borderId="26" xfId="0" applyFont="1" applyBorder="1" applyAlignment="1">
      <alignment vertical="top" wrapText="1"/>
    </xf>
    <xf numFmtId="3" fontId="45"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45" fillId="0" borderId="35" xfId="0" applyFont="1" applyBorder="1" applyAlignment="1">
      <alignment vertical="top" wrapText="1"/>
    </xf>
    <xf numFmtId="3" fontId="45"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45" fillId="0" borderId="73" xfId="0" applyFont="1" applyBorder="1" applyAlignment="1">
      <alignment vertical="top" wrapText="1"/>
    </xf>
    <xf numFmtId="0" fontId="33" fillId="0" borderId="39" xfId="0" applyFont="1" applyBorder="1" applyAlignment="1">
      <alignment vertical="top" wrapText="1"/>
    </xf>
    <xf numFmtId="3" fontId="45" fillId="0" borderId="39" xfId="0" applyNumberFormat="1" applyFont="1" applyBorder="1" applyAlignment="1">
      <alignment vertical="top"/>
    </xf>
    <xf numFmtId="3" fontId="2" fillId="0" borderId="74"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45"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3" fillId="0" borderId="73" xfId="0" applyFont="1" applyBorder="1" applyAlignment="1">
      <alignment vertical="top" wrapText="1"/>
    </xf>
    <xf numFmtId="3" fontId="45" fillId="0" borderId="37" xfId="0" applyNumberFormat="1" applyFont="1" applyBorder="1" applyAlignment="1">
      <alignment vertical="top"/>
    </xf>
    <xf numFmtId="3" fontId="2" fillId="0" borderId="72"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0" fontId="17" fillId="12" borderId="48" xfId="0" applyFont="1" applyFill="1" applyBorder="1" applyAlignment="1">
      <alignment horizontal="left" vertical="top" wrapText="1"/>
    </xf>
    <xf numFmtId="0" fontId="17" fillId="12" borderId="21" xfId="0" applyFont="1" applyFill="1" applyBorder="1" applyAlignment="1">
      <alignment horizontal="left" vertical="top" wrapText="1"/>
    </xf>
    <xf numFmtId="0" fontId="2" fillId="11" borderId="39" xfId="0" applyFont="1" applyFill="1" applyBorder="1" applyAlignment="1" applyProtection="1">
      <alignment vertical="top" wrapText="1"/>
      <protection locked="0"/>
    </xf>
    <xf numFmtId="0" fontId="2" fillId="11" borderId="36" xfId="0" applyFont="1" applyFill="1" applyBorder="1" applyAlignment="1" applyProtection="1">
      <alignment vertical="top" wrapText="1"/>
      <protection locked="0"/>
    </xf>
    <xf numFmtId="0" fontId="2" fillId="11" borderId="50" xfId="0" applyFont="1" applyFill="1" applyBorder="1" applyAlignment="1" applyProtection="1">
      <alignment vertical="top" wrapText="1"/>
      <protection locked="0"/>
    </xf>
    <xf numFmtId="3" fontId="0" fillId="13" borderId="3" xfId="0" applyNumberFormat="1" applyFill="1" applyBorder="1" applyAlignment="1">
      <alignment horizontal="center"/>
    </xf>
    <xf numFmtId="3" fontId="0" fillId="13" borderId="3" xfId="0" applyNumberFormat="1" applyFill="1" applyBorder="1" applyAlignment="1">
      <alignment horizontal="center" vertical="top"/>
    </xf>
    <xf numFmtId="3" fontId="2" fillId="13" borderId="5" xfId="0" applyNumberFormat="1" applyFont="1" applyFill="1" applyBorder="1" applyAlignment="1">
      <alignment horizontal="center"/>
    </xf>
    <xf numFmtId="3" fontId="2" fillId="13" borderId="3" xfId="0" applyNumberFormat="1" applyFont="1" applyFill="1" applyBorder="1" applyAlignment="1">
      <alignment horizontal="center"/>
    </xf>
    <xf numFmtId="0" fontId="1" fillId="0" borderId="0" xfId="0" applyFont="1" applyAlignment="1">
      <alignment vertical="top" wrapText="1"/>
    </xf>
    <xf numFmtId="0" fontId="2" fillId="13" borderId="3" xfId="0" applyFont="1" applyFill="1" applyBorder="1" applyAlignment="1">
      <alignment horizontal="left" vertical="top"/>
    </xf>
    <xf numFmtId="0" fontId="2" fillId="13" borderId="3" xfId="0" applyFont="1" applyFill="1" applyBorder="1" applyAlignment="1">
      <alignment horizontal="center" vertical="top"/>
    </xf>
    <xf numFmtId="3" fontId="2" fillId="13" borderId="3" xfId="0" applyNumberFormat="1" applyFont="1" applyFill="1" applyBorder="1" applyAlignment="1">
      <alignment horizontal="center" vertical="center"/>
    </xf>
    <xf numFmtId="0" fontId="2" fillId="13" borderId="13" xfId="0" applyFont="1" applyFill="1" applyBorder="1" applyAlignment="1">
      <alignment horizontal="left" vertical="top"/>
    </xf>
    <xf numFmtId="3" fontId="47" fillId="13" borderId="3" xfId="0" applyNumberFormat="1" applyFont="1" applyFill="1" applyBorder="1" applyAlignment="1">
      <alignment horizontal="center" vertical="top"/>
    </xf>
    <xf numFmtId="0" fontId="2" fillId="0" borderId="92" xfId="0" applyFont="1" applyBorder="1" applyAlignment="1">
      <alignment horizontal="left" vertical="top"/>
    </xf>
    <xf numFmtId="0" fontId="2" fillId="0" borderId="92" xfId="0" applyFont="1" applyBorder="1" applyAlignment="1">
      <alignment horizontal="center" vertical="top"/>
    </xf>
    <xf numFmtId="0" fontId="45" fillId="13" borderId="4" xfId="0" applyFont="1" applyFill="1" applyBorder="1" applyAlignment="1">
      <alignment horizontal="left" vertical="top" wrapText="1"/>
    </xf>
    <xf numFmtId="0" fontId="2" fillId="13" borderId="5" xfId="0" applyFont="1" applyFill="1" applyBorder="1" applyAlignment="1">
      <alignment horizontal="left" vertical="top"/>
    </xf>
    <xf numFmtId="0" fontId="2" fillId="13" borderId="5" xfId="0" applyFont="1" applyFill="1" applyBorder="1" applyAlignment="1">
      <alignment horizontal="center" vertical="top"/>
    </xf>
    <xf numFmtId="3" fontId="2" fillId="13" borderId="5" xfId="0" applyNumberFormat="1" applyFont="1" applyFill="1" applyBorder="1" applyAlignment="1">
      <alignment horizontal="right" vertical="center"/>
    </xf>
    <xf numFmtId="0" fontId="0" fillId="13" borderId="13" xfId="0" applyFill="1" applyBorder="1" applyAlignment="1">
      <alignment horizontal="left" vertical="top"/>
    </xf>
    <xf numFmtId="0" fontId="0" fillId="13" borderId="3" xfId="0" applyFill="1" applyBorder="1" applyAlignment="1">
      <alignment horizontal="left" vertical="top"/>
    </xf>
    <xf numFmtId="0" fontId="0" fillId="13" borderId="3" xfId="0" applyFill="1" applyBorder="1" applyAlignment="1">
      <alignment horizontal="center" vertical="top"/>
    </xf>
    <xf numFmtId="3" fontId="0" fillId="13" borderId="3" xfId="0" applyNumberFormat="1" applyFill="1" applyBorder="1" applyAlignment="1">
      <alignment horizontal="center" vertical="center"/>
    </xf>
    <xf numFmtId="0" fontId="2" fillId="0" borderId="5" xfId="0" applyFont="1" applyBorder="1" applyAlignment="1">
      <alignment horizontal="center" vertical="top"/>
    </xf>
    <xf numFmtId="0" fontId="2" fillId="0" borderId="5" xfId="0" applyFont="1" applyBorder="1" applyAlignment="1">
      <alignment horizontal="left" vertical="top"/>
    </xf>
    <xf numFmtId="0" fontId="2" fillId="0" borderId="21" xfId="0" applyFont="1" applyBorder="1" applyAlignment="1">
      <alignment horizontal="center" vertical="top"/>
    </xf>
    <xf numFmtId="0" fontId="0" fillId="0" borderId="0" xfId="0" applyAlignment="1">
      <alignment horizontal="center" vertical="top"/>
    </xf>
    <xf numFmtId="3" fontId="0" fillId="0" borderId="0" xfId="0" applyNumberFormat="1" applyAlignment="1">
      <alignment horizontal="center" vertical="top"/>
    </xf>
    <xf numFmtId="0" fontId="0" fillId="0" borderId="0" xfId="0" applyAlignment="1">
      <alignment horizontal="center"/>
    </xf>
    <xf numFmtId="3" fontId="0" fillId="0" borderId="0" xfId="0" applyNumberFormat="1" applyAlignment="1">
      <alignment horizontal="center"/>
    </xf>
    <xf numFmtId="0" fontId="2" fillId="0" borderId="0" xfId="0" applyFont="1" applyAlignment="1">
      <alignment vertical="center"/>
    </xf>
    <xf numFmtId="0" fontId="45" fillId="0" borderId="94" xfId="0" applyFont="1" applyBorder="1" applyAlignment="1">
      <alignment horizontal="right" vertical="top" wrapText="1"/>
    </xf>
    <xf numFmtId="3" fontId="45" fillId="0" borderId="95" xfId="0" applyNumberFormat="1" applyFont="1" applyBorder="1" applyAlignment="1">
      <alignment horizontal="right" vertical="top" wrapText="1"/>
    </xf>
    <xf numFmtId="0" fontId="45" fillId="0" borderId="24" xfId="0" applyFont="1" applyBorder="1" applyAlignment="1">
      <alignment horizontal="right" vertical="top" wrapText="1"/>
    </xf>
    <xf numFmtId="3" fontId="45" fillId="0" borderId="23" xfId="0" applyNumberFormat="1" applyFont="1" applyBorder="1" applyAlignment="1">
      <alignment vertical="top"/>
    </xf>
    <xf numFmtId="0" fontId="45" fillId="0" borderId="96" xfId="0" applyFont="1" applyBorder="1" applyAlignment="1">
      <alignment horizontal="right" vertical="top" wrapText="1"/>
    </xf>
    <xf numFmtId="3" fontId="45" fillId="0" borderId="97" xfId="0" applyNumberFormat="1" applyFont="1" applyBorder="1" applyAlignment="1">
      <alignment horizontal="right" vertical="top" wrapText="1"/>
    </xf>
    <xf numFmtId="0" fontId="45" fillId="0" borderId="25" xfId="0" applyFont="1" applyBorder="1" applyAlignment="1">
      <alignment vertical="top"/>
    </xf>
    <xf numFmtId="3" fontId="45" fillId="0" borderId="25" xfId="0" applyNumberFormat="1" applyFont="1" applyBorder="1" applyAlignment="1">
      <alignment horizontal="right" vertical="top" wrapText="1"/>
    </xf>
    <xf numFmtId="0" fontId="45" fillId="0" borderId="98" xfId="0" applyFont="1" applyBorder="1" applyAlignment="1">
      <alignment horizontal="right" vertical="top" wrapText="1"/>
    </xf>
    <xf numFmtId="0" fontId="45" fillId="0" borderId="23" xfId="0" applyFont="1" applyBorder="1" applyAlignment="1">
      <alignment horizontal="right" vertical="top" wrapText="1"/>
    </xf>
    <xf numFmtId="3" fontId="45" fillId="0" borderId="59" xfId="0" applyNumberFormat="1" applyFont="1" applyBorder="1" applyAlignment="1">
      <alignment horizontal="right" vertical="top" wrapText="1"/>
    </xf>
    <xf numFmtId="3" fontId="45" fillId="0" borderId="99" xfId="0" applyNumberFormat="1" applyFont="1" applyBorder="1" applyAlignment="1">
      <alignment horizontal="right" vertical="top" wrapText="1"/>
    </xf>
    <xf numFmtId="0" fontId="45" fillId="0" borderId="100" xfId="0" applyFont="1" applyBorder="1" applyAlignment="1">
      <alignment horizontal="right" vertical="top" wrapText="1"/>
    </xf>
    <xf numFmtId="3" fontId="45" fillId="0" borderId="101" xfId="0" applyNumberFormat="1" applyFont="1" applyBorder="1" applyAlignment="1">
      <alignment horizontal="right" vertical="top" wrapText="1"/>
    </xf>
    <xf numFmtId="3" fontId="45" fillId="0" borderId="102" xfId="0" applyNumberFormat="1" applyFont="1" applyBorder="1" applyAlignment="1">
      <alignment horizontal="right" vertical="top" wrapText="1"/>
    </xf>
    <xf numFmtId="0" fontId="1" fillId="2" borderId="103" xfId="0" applyFont="1" applyFill="1" applyBorder="1" applyAlignment="1">
      <alignment vertical="top" wrapText="1"/>
    </xf>
    <xf numFmtId="0" fontId="1" fillId="3" borderId="106" xfId="0" applyFont="1" applyFill="1" applyBorder="1" applyAlignment="1">
      <alignment vertical="top" wrapText="1"/>
    </xf>
    <xf numFmtId="0" fontId="3" fillId="0" borderId="53" xfId="0" applyFont="1" applyBorder="1" applyAlignment="1">
      <alignment horizontal="left" vertical="top"/>
    </xf>
    <xf numFmtId="0" fontId="0" fillId="0" borderId="55" xfId="0" applyBorder="1" applyAlignment="1">
      <alignment horizontal="left" vertical="top"/>
    </xf>
    <xf numFmtId="0" fontId="1" fillId="3" borderId="93" xfId="0" applyFont="1" applyFill="1" applyBorder="1" applyAlignment="1">
      <alignment vertical="top" wrapText="1"/>
    </xf>
    <xf numFmtId="0" fontId="3" fillId="0" borderId="109" xfId="0" applyFont="1" applyBorder="1" applyAlignment="1">
      <alignment horizontal="left" vertical="top"/>
    </xf>
    <xf numFmtId="0" fontId="1" fillId="3" borderId="110" xfId="0" applyFont="1" applyFill="1" applyBorder="1" applyAlignment="1">
      <alignment vertical="top" wrapText="1"/>
    </xf>
    <xf numFmtId="0" fontId="0" fillId="0" borderId="111" xfId="0" applyBorder="1" applyAlignment="1">
      <alignment horizontal="left" vertical="top"/>
    </xf>
    <xf numFmtId="3" fontId="0" fillId="12" borderId="113" xfId="0" applyNumberFormat="1" applyFill="1" applyBorder="1" applyAlignment="1">
      <alignment horizontal="left" vertical="top" wrapText="1"/>
    </xf>
    <xf numFmtId="0" fontId="1" fillId="3" borderId="48" xfId="0" applyFont="1" applyFill="1" applyBorder="1" applyAlignment="1">
      <alignment vertical="top" wrapText="1"/>
    </xf>
    <xf numFmtId="3" fontId="0" fillId="12" borderId="50" xfId="0" applyNumberFormat="1" applyFill="1" applyBorder="1" applyAlignment="1">
      <alignment horizontal="left" vertical="top" wrapText="1"/>
    </xf>
    <xf numFmtId="3" fontId="0" fillId="12" borderId="115" xfId="0" applyNumberFormat="1" applyFill="1" applyBorder="1" applyAlignment="1">
      <alignment horizontal="left" vertical="top" wrapText="1"/>
    </xf>
    <xf numFmtId="0" fontId="1" fillId="2" borderId="116" xfId="0" applyFont="1" applyFill="1" applyBorder="1" applyAlignment="1">
      <alignment vertical="top" wrapText="1"/>
    </xf>
    <xf numFmtId="3" fontId="2" fillId="12" borderId="21" xfId="0" applyNumberFormat="1" applyFont="1" applyFill="1" applyBorder="1" applyAlignment="1">
      <alignment horizontal="right" vertical="top" wrapText="1"/>
    </xf>
    <xf numFmtId="3" fontId="0" fillId="12" borderId="21" xfId="0" applyNumberFormat="1" applyFill="1" applyBorder="1" applyAlignment="1">
      <alignment horizontal="right" vertical="top" wrapText="1"/>
    </xf>
    <xf numFmtId="3" fontId="0" fillId="12" borderId="44" xfId="0" applyNumberFormat="1" applyFill="1" applyBorder="1" applyAlignment="1">
      <alignment horizontal="right" vertical="top" wrapText="1"/>
    </xf>
    <xf numFmtId="3" fontId="2" fillId="12" borderId="107" xfId="0" applyNumberFormat="1" applyFont="1" applyFill="1" applyBorder="1" applyAlignment="1">
      <alignment horizontal="right" vertical="top" wrapText="1"/>
    </xf>
    <xf numFmtId="3" fontId="0" fillId="12" borderId="107" xfId="0" applyNumberFormat="1" applyFill="1" applyBorder="1" applyAlignment="1">
      <alignment horizontal="right" vertical="top" wrapText="1"/>
    </xf>
    <xf numFmtId="3" fontId="0" fillId="12" borderId="108" xfId="0" applyNumberFormat="1" applyFill="1" applyBorder="1" applyAlignment="1">
      <alignment horizontal="right" vertical="top" wrapText="1"/>
    </xf>
    <xf numFmtId="3" fontId="2" fillId="12" borderId="45" xfId="0" applyNumberFormat="1" applyFont="1" applyFill="1" applyBorder="1" applyAlignment="1">
      <alignment horizontal="right" vertical="top" wrapText="1"/>
    </xf>
    <xf numFmtId="3" fontId="0" fillId="12" borderId="45" xfId="0" applyNumberFormat="1" applyFill="1" applyBorder="1" applyAlignment="1">
      <alignment horizontal="right" vertical="top" wrapText="1"/>
    </xf>
    <xf numFmtId="3" fontId="0" fillId="12" borderId="79" xfId="0" applyNumberFormat="1" applyFill="1" applyBorder="1" applyAlignment="1">
      <alignment horizontal="right" vertical="top" wrapText="1"/>
    </xf>
    <xf numFmtId="3" fontId="0" fillId="12" borderId="112" xfId="0" applyNumberFormat="1" applyFill="1" applyBorder="1" applyAlignment="1">
      <alignment horizontal="right" vertical="top" wrapText="1"/>
    </xf>
    <xf numFmtId="0" fontId="0" fillId="3" borderId="114" xfId="0" applyFill="1" applyBorder="1" applyAlignment="1">
      <alignment horizontal="center" vertical="top" wrapText="1"/>
    </xf>
    <xf numFmtId="9" fontId="2" fillId="3" borderId="107" xfId="0" applyNumberFormat="1" applyFont="1" applyFill="1" applyBorder="1" applyAlignment="1">
      <alignment horizontal="right" vertical="top" wrapText="1"/>
    </xf>
    <xf numFmtId="9" fontId="2" fillId="3" borderId="108" xfId="0" applyNumberFormat="1" applyFont="1" applyFill="1" applyBorder="1" applyAlignment="1">
      <alignment horizontal="right" vertical="top" wrapText="1"/>
    </xf>
    <xf numFmtId="3" fontId="2" fillId="3" borderId="21" xfId="0" applyNumberFormat="1" applyFont="1" applyFill="1" applyBorder="1" applyAlignment="1">
      <alignment horizontal="right" vertical="top" wrapText="1"/>
    </xf>
    <xf numFmtId="3" fontId="2" fillId="3" borderId="47" xfId="0" applyNumberFormat="1" applyFont="1" applyFill="1" applyBorder="1" applyAlignment="1">
      <alignment horizontal="right" vertical="top" wrapText="1"/>
    </xf>
    <xf numFmtId="0" fontId="23" fillId="0" borderId="0" xfId="0" applyFont="1"/>
    <xf numFmtId="0" fontId="1" fillId="4" borderId="119" xfId="0" applyFont="1" applyFill="1" applyBorder="1" applyAlignment="1">
      <alignment horizontal="center" vertical="top" wrapText="1"/>
    </xf>
    <xf numFmtId="0" fontId="1" fillId="4" borderId="120" xfId="0" applyFont="1" applyFill="1" applyBorder="1" applyAlignment="1">
      <alignment horizontal="center" vertical="top" wrapText="1"/>
    </xf>
    <xf numFmtId="0" fontId="24" fillId="14" borderId="121" xfId="0" applyFont="1" applyFill="1" applyBorder="1" applyAlignment="1">
      <alignment horizontal="center" vertical="top" wrapText="1"/>
    </xf>
    <xf numFmtId="3" fontId="48" fillId="12" borderId="14" xfId="0" applyNumberFormat="1" applyFont="1" applyFill="1" applyBorder="1" applyAlignment="1">
      <alignment vertical="top"/>
    </xf>
    <xf numFmtId="3" fontId="42" fillId="11" borderId="2" xfId="0" applyNumberFormat="1" applyFont="1" applyFill="1" applyBorder="1" applyAlignment="1" applyProtection="1">
      <alignment vertical="top"/>
      <protection locked="0"/>
    </xf>
    <xf numFmtId="3" fontId="42" fillId="12" borderId="31" xfId="0" applyNumberFormat="1" applyFont="1" applyFill="1" applyBorder="1" applyAlignment="1">
      <alignment vertical="top"/>
    </xf>
    <xf numFmtId="3" fontId="42" fillId="11" borderId="13" xfId="0" applyNumberFormat="1" applyFont="1" applyFill="1" applyBorder="1" applyAlignment="1" applyProtection="1">
      <alignment vertical="top"/>
      <protection locked="0"/>
    </xf>
    <xf numFmtId="3" fontId="42" fillId="11" borderId="3" xfId="0" applyNumberFormat="1" applyFont="1" applyFill="1" applyBorder="1" applyAlignment="1" applyProtection="1">
      <alignment vertical="top"/>
      <protection locked="0"/>
    </xf>
    <xf numFmtId="3" fontId="42" fillId="11" borderId="12" xfId="0" applyNumberFormat="1" applyFont="1" applyFill="1" applyBorder="1" applyAlignment="1" applyProtection="1">
      <alignment vertical="top"/>
      <protection locked="0"/>
    </xf>
    <xf numFmtId="3" fontId="42" fillId="11" borderId="124" xfId="0" applyNumberFormat="1" applyFont="1" applyFill="1" applyBorder="1" applyAlignment="1" applyProtection="1">
      <alignment vertical="top"/>
      <protection locked="0"/>
    </xf>
    <xf numFmtId="3" fontId="42" fillId="11" borderId="125" xfId="0" applyNumberFormat="1" applyFont="1" applyFill="1" applyBorder="1" applyAlignment="1" applyProtection="1">
      <alignment vertical="top"/>
      <protection locked="0"/>
    </xf>
    <xf numFmtId="3" fontId="42" fillId="11" borderId="126" xfId="0" applyNumberFormat="1" applyFont="1" applyFill="1" applyBorder="1" applyAlignment="1" applyProtection="1">
      <alignment vertical="top"/>
      <protection locked="0"/>
    </xf>
    <xf numFmtId="3" fontId="42" fillId="11" borderId="11" xfId="0" applyNumberFormat="1" applyFont="1" applyFill="1" applyBorder="1" applyAlignment="1" applyProtection="1">
      <alignment vertical="top"/>
      <protection locked="0"/>
    </xf>
    <xf numFmtId="3" fontId="42" fillId="11" borderId="49" xfId="0" applyNumberFormat="1" applyFont="1" applyFill="1" applyBorder="1" applyAlignment="1" applyProtection="1">
      <alignment vertical="top"/>
      <protection locked="0"/>
    </xf>
    <xf numFmtId="3" fontId="42" fillId="11" borderId="44" xfId="0" applyNumberFormat="1" applyFont="1" applyFill="1" applyBorder="1" applyAlignment="1" applyProtection="1">
      <alignment vertical="top"/>
      <protection locked="0"/>
    </xf>
    <xf numFmtId="3" fontId="42" fillId="11" borderId="47" xfId="0" applyNumberFormat="1" applyFont="1" applyFill="1" applyBorder="1" applyAlignment="1" applyProtection="1">
      <alignment vertical="top"/>
      <protection locked="0"/>
    </xf>
    <xf numFmtId="3" fontId="48" fillId="0" borderId="77" xfId="0" applyNumberFormat="1" applyFont="1" applyBorder="1" applyAlignment="1">
      <alignment vertical="top"/>
    </xf>
    <xf numFmtId="3" fontId="42" fillId="0" borderId="32" xfId="0" applyNumberFormat="1" applyFont="1" applyBorder="1" applyAlignment="1">
      <alignment vertical="top"/>
    </xf>
    <xf numFmtId="3" fontId="42" fillId="0" borderId="57" xfId="0" applyNumberFormat="1" applyFont="1" applyBorder="1" applyAlignment="1">
      <alignment vertical="top"/>
    </xf>
    <xf numFmtId="0" fontId="49" fillId="3" borderId="3" xfId="0" applyFont="1" applyFill="1" applyBorder="1" applyAlignment="1">
      <alignment vertical="top"/>
    </xf>
    <xf numFmtId="0" fontId="49" fillId="3" borderId="44" xfId="0" applyFont="1" applyFill="1" applyBorder="1" applyAlignment="1">
      <alignment horizontal="left" vertical="top"/>
    </xf>
    <xf numFmtId="0" fontId="49" fillId="3" borderId="43" xfId="0" applyFont="1" applyFill="1" applyBorder="1" applyAlignment="1">
      <alignment horizontal="left" vertical="top"/>
    </xf>
    <xf numFmtId="0" fontId="50" fillId="3" borderId="0" xfId="0" applyFont="1" applyFill="1" applyAlignment="1">
      <alignment vertical="top"/>
    </xf>
    <xf numFmtId="0" fontId="49" fillId="3" borderId="0" xfId="0" applyFont="1" applyFill="1" applyAlignment="1">
      <alignment horizontal="left" vertical="top"/>
    </xf>
    <xf numFmtId="0" fontId="50" fillId="0" borderId="0" xfId="0" applyFont="1" applyAlignment="1">
      <alignment horizontal="left" vertical="top"/>
    </xf>
    <xf numFmtId="0" fontId="50" fillId="0" borderId="0" xfId="0" applyFont="1" applyAlignment="1">
      <alignment vertical="top"/>
    </xf>
    <xf numFmtId="0" fontId="49" fillId="3" borderId="11" xfId="0" applyFont="1" applyFill="1" applyBorder="1" applyAlignment="1">
      <alignment horizontal="left" vertical="top"/>
    </xf>
    <xf numFmtId="0" fontId="49" fillId="3" borderId="44" xfId="0" applyFont="1" applyFill="1" applyBorder="1" applyAlignment="1">
      <alignment vertical="top"/>
    </xf>
    <xf numFmtId="3" fontId="49" fillId="3" borderId="3" xfId="0" applyNumberFormat="1" applyFont="1" applyFill="1" applyBorder="1" applyAlignment="1">
      <alignment horizontal="center" vertical="top" wrapText="1"/>
    </xf>
    <xf numFmtId="0" fontId="49" fillId="3" borderId="3" xfId="0" applyFont="1" applyFill="1" applyBorder="1" applyAlignment="1">
      <alignment horizontal="center" vertical="top"/>
    </xf>
    <xf numFmtId="0" fontId="49" fillId="3" borderId="3" xfId="0" applyFont="1" applyFill="1" applyBorder="1" applyAlignment="1">
      <alignment horizontal="left" vertical="top" wrapText="1"/>
    </xf>
    <xf numFmtId="0" fontId="51" fillId="3" borderId="3" xfId="0" applyFont="1" applyFill="1" applyBorder="1" applyAlignment="1">
      <alignment horizontal="left" vertical="top" wrapText="1"/>
    </xf>
    <xf numFmtId="0" fontId="49" fillId="3" borderId="11" xfId="0" applyFont="1" applyFill="1" applyBorder="1" applyAlignment="1">
      <alignment vertical="top"/>
    </xf>
    <xf numFmtId="3" fontId="49" fillId="3" borderId="3" xfId="0" applyNumberFormat="1" applyFont="1" applyFill="1" applyBorder="1" applyAlignment="1">
      <alignment vertical="top"/>
    </xf>
    <xf numFmtId="3" fontId="52" fillId="0" borderId="3" xfId="0" applyNumberFormat="1" applyFont="1" applyBorder="1" applyAlignment="1">
      <alignment vertical="top"/>
    </xf>
    <xf numFmtId="3" fontId="50" fillId="0" borderId="3" xfId="0" applyNumberFormat="1" applyFont="1" applyBorder="1" applyAlignment="1">
      <alignment vertical="top"/>
    </xf>
    <xf numFmtId="0" fontId="53" fillId="0" borderId="0" xfId="0" applyFont="1" applyAlignment="1">
      <alignment horizontal="left" vertical="top"/>
    </xf>
    <xf numFmtId="0" fontId="54" fillId="0" borderId="11" xfId="0" applyFont="1" applyBorder="1" applyAlignment="1">
      <alignment vertical="top"/>
    </xf>
    <xf numFmtId="3" fontId="55" fillId="0" borderId="3" xfId="0" applyNumberFormat="1" applyFont="1" applyBorder="1" applyAlignment="1">
      <alignment vertical="top"/>
    </xf>
    <xf numFmtId="3" fontId="56" fillId="0" borderId="3" xfId="0" applyNumberFormat="1" applyFont="1" applyBorder="1" applyAlignment="1">
      <alignment vertical="top"/>
    </xf>
    <xf numFmtId="0" fontId="53" fillId="3" borderId="0" xfId="0" applyFont="1" applyFill="1" applyAlignment="1">
      <alignment horizontal="left" vertical="top"/>
    </xf>
    <xf numFmtId="0" fontId="50" fillId="3" borderId="0" xfId="0" applyFont="1" applyFill="1" applyAlignment="1">
      <alignment horizontal="left" vertical="top"/>
    </xf>
    <xf numFmtId="0" fontId="49" fillId="2" borderId="4" xfId="0" applyFont="1" applyFill="1" applyBorder="1" applyAlignment="1">
      <alignment vertical="top" wrapText="1"/>
    </xf>
    <xf numFmtId="0" fontId="49" fillId="3" borderId="13" xfId="0" applyFont="1" applyFill="1" applyBorder="1" applyAlignment="1">
      <alignment vertical="top" wrapText="1"/>
    </xf>
    <xf numFmtId="0" fontId="42" fillId="3" borderId="3" xfId="0" applyFont="1" applyFill="1" applyBorder="1" applyAlignment="1">
      <alignment horizontal="center" vertical="top" wrapText="1"/>
    </xf>
    <xf numFmtId="0" fontId="50" fillId="3" borderId="3" xfId="0" applyFont="1" applyFill="1" applyBorder="1" applyAlignment="1">
      <alignment horizontal="center" vertical="top" wrapText="1"/>
    </xf>
    <xf numFmtId="0" fontId="50" fillId="3" borderId="11" xfId="0" applyFont="1" applyFill="1" applyBorder="1" applyAlignment="1">
      <alignment horizontal="center" vertical="top" wrapText="1"/>
    </xf>
    <xf numFmtId="0" fontId="50" fillId="0" borderId="13" xfId="0" applyFont="1" applyBorder="1" applyAlignment="1">
      <alignment horizontal="left" vertical="top"/>
    </xf>
    <xf numFmtId="0" fontId="49" fillId="3" borderId="18" xfId="0" applyFont="1" applyFill="1" applyBorder="1" applyAlignment="1">
      <alignment vertical="top" wrapText="1"/>
    </xf>
    <xf numFmtId="3" fontId="42" fillId="12" borderId="16" xfId="0" applyNumberFormat="1" applyFont="1" applyFill="1" applyBorder="1" applyAlignment="1">
      <alignment horizontal="right" vertical="top" wrapText="1"/>
    </xf>
    <xf numFmtId="3" fontId="50" fillId="11" borderId="16" xfId="0" applyNumberFormat="1" applyFont="1" applyFill="1" applyBorder="1" applyAlignment="1" applyProtection="1">
      <alignment horizontal="right" vertical="top" wrapText="1"/>
      <protection locked="0"/>
    </xf>
    <xf numFmtId="3" fontId="50" fillId="11" borderId="17" xfId="0" applyNumberFormat="1" applyFont="1" applyFill="1" applyBorder="1" applyAlignment="1" applyProtection="1">
      <alignment horizontal="right" vertical="top" wrapText="1"/>
      <protection locked="0"/>
    </xf>
    <xf numFmtId="3" fontId="50" fillId="11" borderId="35" xfId="0" applyNumberFormat="1" applyFont="1" applyFill="1" applyBorder="1" applyAlignment="1" applyProtection="1">
      <alignment horizontal="left" vertical="top" wrapText="1"/>
      <protection locked="0"/>
    </xf>
    <xf numFmtId="0" fontId="53" fillId="0" borderId="4" xfId="0" applyFont="1" applyBorder="1" applyAlignment="1">
      <alignment horizontal="left" vertical="top"/>
    </xf>
    <xf numFmtId="0" fontId="57" fillId="0" borderId="0" xfId="0" applyFont="1" applyAlignment="1">
      <alignment vertical="top"/>
    </xf>
    <xf numFmtId="0" fontId="49" fillId="0" borderId="0" xfId="0" applyFont="1" applyAlignment="1">
      <alignment vertical="top"/>
    </xf>
    <xf numFmtId="49" fontId="48" fillId="4" borderId="7" xfId="0" applyNumberFormat="1" applyFont="1" applyFill="1" applyBorder="1" applyAlignment="1">
      <alignment horizontal="center" vertical="top" wrapText="1"/>
    </xf>
    <xf numFmtId="49" fontId="48" fillId="4" borderId="8" xfId="0" applyNumberFormat="1" applyFont="1" applyFill="1" applyBorder="1" applyAlignment="1">
      <alignment horizontal="center" vertical="top" wrapText="1"/>
    </xf>
    <xf numFmtId="49" fontId="48" fillId="4" borderId="8" xfId="0" applyNumberFormat="1" applyFont="1" applyFill="1" applyBorder="1" applyAlignment="1">
      <alignment horizontal="center" vertical="top"/>
    </xf>
    <xf numFmtId="1" fontId="48" fillId="4" borderId="8" xfId="0" applyNumberFormat="1" applyFont="1" applyFill="1" applyBorder="1" applyAlignment="1">
      <alignment horizontal="center" vertical="top" wrapText="1"/>
    </xf>
    <xf numFmtId="49" fontId="48" fillId="4" borderId="10" xfId="0" applyNumberFormat="1" applyFont="1" applyFill="1" applyBorder="1" applyAlignment="1">
      <alignment horizontal="center" vertical="top" wrapText="1"/>
    </xf>
    <xf numFmtId="164" fontId="49" fillId="4" borderId="24" xfId="0" applyNumberFormat="1" applyFont="1" applyFill="1" applyBorder="1" applyAlignment="1">
      <alignment horizontal="center" vertical="top" wrapText="1"/>
    </xf>
    <xf numFmtId="164" fontId="49" fillId="4" borderId="30" xfId="0" applyNumberFormat="1" applyFont="1" applyFill="1" applyBorder="1" applyAlignment="1">
      <alignment horizontal="center" vertical="top" wrapText="1"/>
    </xf>
    <xf numFmtId="164" fontId="49" fillId="4" borderId="23" xfId="0" applyNumberFormat="1" applyFont="1" applyFill="1" applyBorder="1" applyAlignment="1">
      <alignment horizontal="center" vertical="top" wrapText="1"/>
    </xf>
    <xf numFmtId="164" fontId="56" fillId="4" borderId="10" xfId="0" applyNumberFormat="1" applyFont="1" applyFill="1" applyBorder="1" applyAlignment="1">
      <alignment horizontal="center" vertical="top" wrapText="1"/>
    </xf>
    <xf numFmtId="164" fontId="50" fillId="4" borderId="7" xfId="0" applyNumberFormat="1" applyFont="1" applyFill="1" applyBorder="1" applyAlignment="1">
      <alignment horizontal="center" vertical="top" wrapText="1"/>
    </xf>
    <xf numFmtId="164" fontId="50" fillId="4" borderId="8" xfId="0" applyNumberFormat="1" applyFont="1" applyFill="1" applyBorder="1" applyAlignment="1">
      <alignment horizontal="center" vertical="top" wrapText="1"/>
    </xf>
    <xf numFmtId="164" fontId="50" fillId="4" borderId="10" xfId="0" applyNumberFormat="1" applyFont="1" applyFill="1" applyBorder="1" applyAlignment="1">
      <alignment horizontal="center" vertical="top" wrapText="1"/>
    </xf>
    <xf numFmtId="164" fontId="50" fillId="4" borderId="40" xfId="0" applyNumberFormat="1" applyFont="1" applyFill="1" applyBorder="1" applyAlignment="1">
      <alignment horizontal="center" vertical="top" wrapText="1"/>
    </xf>
    <xf numFmtId="164" fontId="50" fillId="4" borderId="9" xfId="0" applyNumberFormat="1" applyFont="1" applyFill="1" applyBorder="1" applyAlignment="1">
      <alignment horizontal="center" vertical="top" wrapText="1"/>
    </xf>
    <xf numFmtId="164" fontId="56" fillId="4" borderId="23" xfId="0" applyNumberFormat="1" applyFont="1" applyFill="1" applyBorder="1" applyAlignment="1">
      <alignment horizontal="center" vertical="top" wrapText="1"/>
    </xf>
    <xf numFmtId="1" fontId="54" fillId="4" borderId="30" xfId="0" applyNumberFormat="1" applyFont="1" applyFill="1" applyBorder="1" applyAlignment="1">
      <alignment horizontal="center" vertical="top" wrapText="1"/>
    </xf>
    <xf numFmtId="1" fontId="54" fillId="4" borderId="23" xfId="0" applyNumberFormat="1" applyFont="1" applyFill="1" applyBorder="1" applyAlignment="1">
      <alignment horizontal="center" vertical="top" wrapText="1"/>
    </xf>
    <xf numFmtId="0" fontId="42" fillId="0" borderId="0" xfId="0" applyFont="1" applyAlignment="1">
      <alignment vertical="top"/>
    </xf>
    <xf numFmtId="0" fontId="42" fillId="11" borderId="31" xfId="0" applyFont="1" applyFill="1" applyBorder="1" applyAlignment="1" applyProtection="1">
      <alignment horizontal="left" vertical="top" wrapText="1"/>
      <protection locked="0"/>
    </xf>
    <xf numFmtId="0" fontId="42" fillId="11" borderId="1" xfId="0" applyFont="1" applyFill="1" applyBorder="1" applyAlignment="1" applyProtection="1">
      <alignment horizontal="left" vertical="top" wrapText="1"/>
      <protection locked="0"/>
    </xf>
    <xf numFmtId="0" fontId="42" fillId="11" borderId="39" xfId="0" applyFont="1" applyFill="1" applyBorder="1" applyAlignment="1" applyProtection="1">
      <alignment vertical="top" wrapText="1"/>
      <protection locked="0"/>
    </xf>
    <xf numFmtId="0" fontId="42" fillId="11" borderId="33" xfId="0" applyFont="1" applyFill="1" applyBorder="1" applyAlignment="1" applyProtection="1">
      <alignment vertical="top" wrapText="1"/>
      <protection locked="0"/>
    </xf>
    <xf numFmtId="0" fontId="42" fillId="11" borderId="36" xfId="0" applyFont="1" applyFill="1" applyBorder="1" applyAlignment="1" applyProtection="1">
      <alignment vertical="top" wrapText="1"/>
      <protection locked="0"/>
    </xf>
    <xf numFmtId="0" fontId="42" fillId="11" borderId="3" xfId="0" applyFont="1" applyFill="1" applyBorder="1" applyAlignment="1" applyProtection="1">
      <alignment horizontal="left" vertical="top" wrapText="1"/>
      <protection locked="0"/>
    </xf>
    <xf numFmtId="0" fontId="42" fillId="11" borderId="3" xfId="0" applyFont="1" applyFill="1" applyBorder="1" applyAlignment="1" applyProtection="1">
      <alignment vertical="top" wrapText="1"/>
      <protection locked="0"/>
    </xf>
    <xf numFmtId="3" fontId="42" fillId="11" borderId="3" xfId="0" applyNumberFormat="1" applyFont="1" applyFill="1" applyBorder="1" applyAlignment="1" applyProtection="1">
      <alignment horizontal="right" vertical="top"/>
      <protection locked="0"/>
    </xf>
    <xf numFmtId="3" fontId="42" fillId="11" borderId="12" xfId="0" applyNumberFormat="1" applyFont="1" applyFill="1" applyBorder="1" applyAlignment="1" applyProtection="1">
      <alignment horizontal="right" vertical="top"/>
      <protection locked="0"/>
    </xf>
    <xf numFmtId="0" fontId="42" fillId="11" borderId="21" xfId="0" applyFont="1" applyFill="1" applyBorder="1" applyAlignment="1" applyProtection="1">
      <alignment horizontal="left" vertical="top" wrapText="1"/>
      <protection locked="0"/>
    </xf>
    <xf numFmtId="0" fontId="42" fillId="11" borderId="21" xfId="1" applyFont="1" applyFill="1" applyBorder="1" applyAlignment="1" applyProtection="1">
      <alignment horizontal="left" vertical="top" wrapText="1"/>
      <protection locked="0"/>
    </xf>
    <xf numFmtId="3" fontId="42" fillId="11" borderId="49" xfId="0" applyNumberFormat="1" applyFont="1" applyFill="1" applyBorder="1" applyAlignment="1" applyProtection="1">
      <alignment horizontal="right" vertical="top"/>
      <protection locked="0"/>
    </xf>
    <xf numFmtId="3" fontId="42" fillId="11" borderId="44" xfId="0" applyNumberFormat="1" applyFont="1" applyFill="1" applyBorder="1" applyAlignment="1" applyProtection="1">
      <alignment horizontal="right" vertical="top"/>
      <protection locked="0"/>
    </xf>
    <xf numFmtId="3" fontId="42" fillId="11" borderId="47" xfId="0" applyNumberFormat="1" applyFont="1" applyFill="1" applyBorder="1" applyAlignment="1" applyProtection="1">
      <alignment horizontal="right" vertical="top"/>
      <protection locked="0"/>
    </xf>
    <xf numFmtId="0" fontId="42" fillId="11" borderId="43" xfId="0" applyFont="1" applyFill="1" applyBorder="1" applyAlignment="1" applyProtection="1">
      <alignment vertical="top" wrapText="1"/>
      <protection locked="0"/>
    </xf>
    <xf numFmtId="0" fontId="42" fillId="11" borderId="46" xfId="0" applyFont="1" applyFill="1" applyBorder="1" applyAlignment="1" applyProtection="1">
      <alignment vertical="top" wrapText="1"/>
      <protection locked="0"/>
    </xf>
    <xf numFmtId="0" fontId="42" fillId="11" borderId="49" xfId="0" applyFont="1" applyFill="1" applyBorder="1" applyAlignment="1" applyProtection="1">
      <alignment vertical="top" wrapText="1"/>
      <protection locked="0"/>
    </xf>
    <xf numFmtId="0" fontId="42" fillId="0" borderId="32" xfId="0" applyFont="1" applyBorder="1" applyAlignment="1">
      <alignment horizontal="left" vertical="top"/>
    </xf>
    <xf numFmtId="0" fontId="42" fillId="0" borderId="16" xfId="0" applyFont="1" applyBorder="1" applyAlignment="1">
      <alignment horizontal="left" vertical="top"/>
    </xf>
    <xf numFmtId="0" fontId="42" fillId="0" borderId="41" xfId="0" applyFont="1" applyBorder="1" applyAlignment="1">
      <alignment vertical="top" wrapText="1"/>
    </xf>
    <xf numFmtId="0" fontId="42" fillId="0" borderId="37" xfId="0" applyFont="1" applyBorder="1" applyAlignment="1">
      <alignment vertical="top" wrapText="1"/>
    </xf>
    <xf numFmtId="0" fontId="42" fillId="0" borderId="35" xfId="0" applyFont="1" applyBorder="1" applyAlignment="1">
      <alignment vertical="top" wrapText="1"/>
    </xf>
    <xf numFmtId="3" fontId="50" fillId="0" borderId="18" xfId="0" applyNumberFormat="1" applyFont="1" applyBorder="1" applyAlignment="1">
      <alignment vertical="top"/>
    </xf>
    <xf numFmtId="3" fontId="50" fillId="0" borderId="16" xfId="0" applyNumberFormat="1" applyFont="1" applyBorder="1" applyAlignment="1">
      <alignment vertical="top"/>
    </xf>
    <xf numFmtId="3" fontId="50" fillId="0" borderId="15" xfId="0" applyNumberFormat="1" applyFont="1" applyBorder="1" applyAlignment="1">
      <alignment vertical="top"/>
    </xf>
    <xf numFmtId="0" fontId="48" fillId="0" borderId="0" xfId="0" applyFont="1" applyAlignment="1">
      <alignment vertical="top"/>
    </xf>
    <xf numFmtId="3" fontId="50" fillId="0" borderId="4" xfId="0" applyNumberFormat="1" applyFont="1" applyBorder="1" applyAlignment="1">
      <alignment vertical="top"/>
    </xf>
    <xf numFmtId="3" fontId="50" fillId="0" borderId="5" xfId="0" applyNumberFormat="1" applyFont="1" applyBorder="1" applyAlignment="1">
      <alignment vertical="top"/>
    </xf>
    <xf numFmtId="3" fontId="50" fillId="0" borderId="6" xfId="0" applyNumberFormat="1" applyFont="1" applyBorder="1" applyAlignment="1">
      <alignment vertical="top"/>
    </xf>
    <xf numFmtId="0" fontId="50" fillId="0" borderId="5" xfId="0" applyFont="1" applyBorder="1" applyAlignment="1">
      <alignment vertical="top"/>
    </xf>
    <xf numFmtId="0" fontId="50" fillId="0" borderId="6" xfId="0" applyFont="1" applyBorder="1" applyAlignment="1">
      <alignment vertical="top"/>
    </xf>
    <xf numFmtId="0" fontId="50" fillId="0" borderId="4" xfId="0" applyFont="1" applyBorder="1" applyAlignment="1">
      <alignment vertical="top"/>
    </xf>
    <xf numFmtId="0" fontId="50" fillId="0" borderId="0" xfId="0" quotePrefix="1" applyFont="1" applyAlignment="1">
      <alignment vertical="top"/>
    </xf>
    <xf numFmtId="3" fontId="50" fillId="0" borderId="0" xfId="0" applyNumberFormat="1" applyFont="1" applyAlignment="1">
      <alignment vertical="top"/>
    </xf>
    <xf numFmtId="3" fontId="50" fillId="0" borderId="68" xfId="0" applyNumberFormat="1" applyFont="1" applyBorder="1" applyAlignment="1">
      <alignment vertical="top"/>
    </xf>
    <xf numFmtId="3" fontId="50" fillId="0" borderId="52" xfId="0" applyNumberFormat="1" applyFont="1" applyBorder="1" applyAlignment="1">
      <alignment vertical="top"/>
    </xf>
    <xf numFmtId="3" fontId="50" fillId="0" borderId="17" xfId="0" applyNumberFormat="1" applyFont="1" applyBorder="1" applyAlignment="1">
      <alignment vertical="top"/>
    </xf>
    <xf numFmtId="3" fontId="50" fillId="0" borderId="72" xfId="0" applyNumberFormat="1" applyFont="1" applyBorder="1" applyAlignment="1">
      <alignment vertical="top"/>
    </xf>
    <xf numFmtId="0" fontId="42" fillId="11" borderId="50" xfId="0" applyFont="1" applyFill="1" applyBorder="1" applyAlignment="1" applyProtection="1">
      <alignment vertical="top" wrapText="1"/>
      <protection locked="0"/>
    </xf>
    <xf numFmtId="0" fontId="42" fillId="11" borderId="45" xfId="0" applyFont="1" applyFill="1" applyBorder="1" applyAlignment="1" applyProtection="1">
      <alignment horizontal="left" vertical="top" wrapText="1"/>
      <protection locked="0"/>
    </xf>
    <xf numFmtId="0" fontId="42" fillId="11" borderId="45" xfId="1" applyFont="1" applyFill="1" applyBorder="1" applyAlignment="1" applyProtection="1">
      <alignment horizontal="left" vertical="top" wrapText="1"/>
      <protection locked="0"/>
    </xf>
    <xf numFmtId="3" fontId="42" fillId="11" borderId="42" xfId="0" applyNumberFormat="1" applyFont="1" applyFill="1" applyBorder="1" applyAlignment="1" applyProtection="1">
      <alignment vertical="top"/>
      <protection locked="0"/>
    </xf>
    <xf numFmtId="3" fontId="42" fillId="11" borderId="79" xfId="0" applyNumberFormat="1" applyFont="1" applyFill="1" applyBorder="1" applyAlignment="1" applyProtection="1">
      <alignment vertical="top"/>
      <protection locked="0"/>
    </xf>
    <xf numFmtId="3" fontId="42" fillId="11" borderId="127" xfId="0" applyNumberFormat="1" applyFont="1" applyFill="1" applyBorder="1" applyAlignment="1" applyProtection="1">
      <alignment vertical="top"/>
      <protection locked="0"/>
    </xf>
    <xf numFmtId="3" fontId="42" fillId="11" borderId="42" xfId="0" applyNumberFormat="1" applyFont="1" applyFill="1" applyBorder="1" applyAlignment="1" applyProtection="1">
      <alignment horizontal="right" vertical="top"/>
      <protection locked="0"/>
    </xf>
    <xf numFmtId="3" fontId="42" fillId="11" borderId="79" xfId="0" applyNumberFormat="1" applyFont="1" applyFill="1" applyBorder="1" applyAlignment="1" applyProtection="1">
      <alignment horizontal="right" vertical="top"/>
      <protection locked="0"/>
    </xf>
    <xf numFmtId="3" fontId="42" fillId="11" borderId="127" xfId="0" applyNumberFormat="1" applyFont="1" applyFill="1" applyBorder="1" applyAlignment="1" applyProtection="1">
      <alignment horizontal="right" vertical="top"/>
      <protection locked="0"/>
    </xf>
    <xf numFmtId="3" fontId="42" fillId="11" borderId="1" xfId="0" applyNumberFormat="1" applyFont="1" applyFill="1" applyBorder="1" applyAlignment="1" applyProtection="1">
      <alignment horizontal="right" vertical="top"/>
      <protection locked="0"/>
    </xf>
    <xf numFmtId="3" fontId="42" fillId="11" borderId="14" xfId="0" applyNumberFormat="1" applyFont="1" applyFill="1" applyBorder="1" applyAlignment="1" applyProtection="1">
      <alignment horizontal="right" vertical="top"/>
      <protection locked="0"/>
    </xf>
    <xf numFmtId="0" fontId="42" fillId="11" borderId="42" xfId="0" applyFont="1" applyFill="1" applyBorder="1" applyAlignment="1" applyProtection="1">
      <alignment vertical="top" wrapText="1"/>
      <protection locked="0"/>
    </xf>
    <xf numFmtId="0" fontId="37" fillId="0" borderId="3" xfId="0" applyFont="1" applyBorder="1" applyAlignment="1">
      <alignment vertical="top" wrapText="1"/>
    </xf>
    <xf numFmtId="0" fontId="39" fillId="15" borderId="3" xfId="0" applyFont="1" applyFill="1" applyBorder="1" applyAlignment="1">
      <alignment horizontal="right" vertical="top" wrapText="1"/>
    </xf>
    <xf numFmtId="0" fontId="39" fillId="0" borderId="0" xfId="0" applyFont="1" applyAlignment="1">
      <alignment horizontal="right" vertical="top" wrapText="1"/>
    </xf>
    <xf numFmtId="3" fontId="41" fillId="0" borderId="0" xfId="0" applyNumberFormat="1" applyFont="1" applyAlignment="1">
      <alignment vertical="top"/>
    </xf>
    <xf numFmtId="0" fontId="59" fillId="0" borderId="3" xfId="0" applyFont="1" applyBorder="1" applyAlignment="1">
      <alignment horizontal="right" vertical="top" wrapText="1"/>
    </xf>
    <xf numFmtId="3" fontId="9" fillId="0" borderId="3" xfId="0" applyNumberFormat="1" applyFont="1" applyBorder="1" applyAlignment="1">
      <alignment vertical="top"/>
    </xf>
    <xf numFmtId="0" fontId="60" fillId="0" borderId="3" xfId="0" applyFont="1" applyBorder="1" applyAlignment="1">
      <alignment horizontal="right" vertical="top" wrapText="1"/>
    </xf>
    <xf numFmtId="0" fontId="60" fillId="3" borderId="3" xfId="0" applyFont="1" applyFill="1" applyBorder="1" applyAlignment="1">
      <alignment horizontal="right" vertical="top" wrapText="1"/>
    </xf>
    <xf numFmtId="0" fontId="61" fillId="3" borderId="3" xfId="0" applyFont="1" applyFill="1" applyBorder="1" applyAlignment="1">
      <alignment horizontal="right"/>
    </xf>
    <xf numFmtId="0" fontId="62" fillId="0" borderId="3" xfId="0" applyFont="1" applyBorder="1" applyAlignment="1">
      <alignment horizontal="right" vertical="top"/>
    </xf>
    <xf numFmtId="3" fontId="39" fillId="0" borderId="3" xfId="0" applyNumberFormat="1" applyFont="1" applyBorder="1" applyAlignment="1">
      <alignment horizontal="right" vertical="top" wrapText="1"/>
    </xf>
    <xf numFmtId="0" fontId="62" fillId="3" borderId="3" xfId="0" applyFont="1" applyFill="1" applyBorder="1" applyAlignment="1">
      <alignment horizontal="right"/>
    </xf>
    <xf numFmtId="0" fontId="62" fillId="0" borderId="3" xfId="0" applyFont="1" applyBorder="1" applyAlignment="1">
      <alignment horizontal="right"/>
    </xf>
    <xf numFmtId="3" fontId="62" fillId="0" borderId="3" xfId="0" applyNumberFormat="1" applyFont="1" applyBorder="1" applyAlignment="1">
      <alignment horizontal="right" vertical="top"/>
    </xf>
    <xf numFmtId="0" fontId="39" fillId="0" borderId="3" xfId="2" applyFont="1" applyBorder="1" applyAlignment="1">
      <alignment horizontal="right"/>
    </xf>
    <xf numFmtId="0" fontId="38" fillId="0" borderId="3" xfId="0" applyFont="1" applyBorder="1" applyAlignment="1">
      <alignment horizontal="right" vertical="top" wrapText="1"/>
    </xf>
    <xf numFmtId="3" fontId="37" fillId="0" borderId="11" xfId="0" applyNumberFormat="1" applyFont="1" applyBorder="1" applyAlignment="1">
      <alignment vertical="top" wrapText="1"/>
    </xf>
    <xf numFmtId="3" fontId="37" fillId="0" borderId="20" xfId="0" applyNumberFormat="1" applyFont="1" applyBorder="1" applyAlignment="1">
      <alignment vertical="top" wrapText="1"/>
    </xf>
    <xf numFmtId="3" fontId="37" fillId="0" borderId="19" xfId="0" applyNumberFormat="1" applyFont="1" applyBorder="1" applyAlignment="1">
      <alignment vertical="top" wrapText="1"/>
    </xf>
    <xf numFmtId="3" fontId="1" fillId="11" borderId="35" xfId="0" applyNumberFormat="1" applyFont="1" applyFill="1" applyBorder="1" applyAlignment="1" applyProtection="1">
      <alignment horizontal="left" vertical="top" wrapText="1"/>
      <protection locked="0"/>
    </xf>
    <xf numFmtId="0" fontId="45" fillId="4" borderId="129" xfId="0" applyFont="1" applyFill="1" applyBorder="1" applyAlignment="1">
      <alignment horizontal="center" vertical="top" wrapText="1"/>
    </xf>
    <xf numFmtId="0" fontId="1" fillId="16" borderId="4" xfId="0" applyFont="1" applyFill="1" applyBorder="1" applyAlignment="1">
      <alignment vertical="top" wrapText="1"/>
    </xf>
    <xf numFmtId="0" fontId="0" fillId="16" borderId="5" xfId="0" applyFill="1" applyBorder="1"/>
    <xf numFmtId="0" fontId="0" fillId="16" borderId="5" xfId="0" applyFill="1" applyBorder="1" applyAlignment="1">
      <alignment horizontal="center"/>
    </xf>
    <xf numFmtId="0" fontId="2" fillId="0" borderId="6" xfId="0" applyFont="1" applyBorder="1" applyAlignment="1">
      <alignment horizontal="center" vertical="center"/>
    </xf>
    <xf numFmtId="0" fontId="0" fillId="16" borderId="13" xfId="0" applyFill="1" applyBorder="1"/>
    <xf numFmtId="0" fontId="0" fillId="16" borderId="3" xfId="0" applyFill="1" applyBorder="1"/>
    <xf numFmtId="0" fontId="0" fillId="16" borderId="3" xfId="0" applyFill="1" applyBorder="1" applyAlignment="1">
      <alignment horizontal="center"/>
    </xf>
    <xf numFmtId="0" fontId="45" fillId="16" borderId="13" xfId="0" applyFont="1" applyFill="1" applyBorder="1" applyAlignment="1">
      <alignment horizontal="left" vertical="top" wrapText="1"/>
    </xf>
    <xf numFmtId="0" fontId="2" fillId="16" borderId="3" xfId="0" applyFont="1" applyFill="1" applyBorder="1" applyAlignment="1">
      <alignment horizontal="left" vertical="top"/>
    </xf>
    <xf numFmtId="3" fontId="2" fillId="16" borderId="3" xfId="0" applyNumberFormat="1" applyFont="1" applyFill="1" applyBorder="1" applyAlignment="1">
      <alignment horizontal="center" vertical="center"/>
    </xf>
    <xf numFmtId="0" fontId="2" fillId="16" borderId="3" xfId="0" applyFont="1" applyFill="1" applyBorder="1" applyAlignment="1">
      <alignment horizontal="center" vertical="top"/>
    </xf>
    <xf numFmtId="0" fontId="23" fillId="0" borderId="12" xfId="0" applyFont="1" applyBorder="1" applyAlignment="1">
      <alignment horizontal="center" vertical="top"/>
    </xf>
    <xf numFmtId="0" fontId="2" fillId="16" borderId="13" xfId="0" applyFont="1" applyFill="1" applyBorder="1" applyAlignment="1">
      <alignment horizontal="left" vertical="top"/>
    </xf>
    <xf numFmtId="0" fontId="2" fillId="17" borderId="3" xfId="0" applyFont="1" applyFill="1" applyBorder="1" applyAlignment="1">
      <alignment horizontal="left" vertical="top"/>
    </xf>
    <xf numFmtId="0" fontId="2" fillId="0" borderId="0" xfId="0" applyFont="1" applyAlignment="1">
      <alignment horizontal="center" vertical="center"/>
    </xf>
    <xf numFmtId="0" fontId="4" fillId="16" borderId="3" xfId="0" applyFont="1" applyFill="1" applyBorder="1" applyAlignment="1">
      <alignment horizontal="left" vertical="top"/>
    </xf>
    <xf numFmtId="0" fontId="4" fillId="16" borderId="3" xfId="0" applyFont="1" applyFill="1" applyBorder="1" applyAlignment="1">
      <alignment horizontal="center" vertical="top"/>
    </xf>
    <xf numFmtId="0" fontId="4" fillId="16" borderId="3" xfId="0" applyFont="1" applyFill="1" applyBorder="1" applyAlignment="1">
      <alignment horizontal="left" vertical="top" wrapText="1"/>
    </xf>
    <xf numFmtId="3" fontId="4" fillId="16" borderId="3" xfId="0" applyNumberFormat="1" applyFont="1" applyFill="1" applyBorder="1" applyAlignment="1">
      <alignment horizontal="center" vertical="top"/>
    </xf>
    <xf numFmtId="3" fontId="4" fillId="16" borderId="3" xfId="0" applyNumberFormat="1" applyFont="1" applyFill="1" applyBorder="1" applyAlignment="1">
      <alignment horizontal="right" vertical="center"/>
    </xf>
    <xf numFmtId="0" fontId="47" fillId="16" borderId="3" xfId="0" applyFont="1" applyFill="1" applyBorder="1" applyAlignment="1">
      <alignment horizontal="left" vertical="top"/>
    </xf>
    <xf numFmtId="0" fontId="47" fillId="16" borderId="3" xfId="0" applyFont="1" applyFill="1" applyBorder="1" applyAlignment="1">
      <alignment horizontal="center" vertical="top"/>
    </xf>
    <xf numFmtId="3" fontId="47" fillId="16" borderId="3" xfId="0" applyNumberFormat="1" applyFont="1" applyFill="1" applyBorder="1" applyAlignment="1">
      <alignment horizontal="center"/>
    </xf>
    <xf numFmtId="3" fontId="47" fillId="16" borderId="3" xfId="0" applyNumberFormat="1" applyFont="1" applyFill="1" applyBorder="1" applyAlignment="1">
      <alignment horizontal="center" vertical="center"/>
    </xf>
    <xf numFmtId="0" fontId="2" fillId="16" borderId="93" xfId="0" applyFont="1" applyFill="1" applyBorder="1" applyAlignment="1">
      <alignment horizontal="left" vertical="top"/>
    </xf>
    <xf numFmtId="0" fontId="47" fillId="16" borderId="21" xfId="0" applyFont="1" applyFill="1" applyBorder="1" applyAlignment="1">
      <alignment horizontal="left" vertical="top"/>
    </xf>
    <xf numFmtId="0" fontId="47" fillId="16" borderId="21" xfId="0" applyFont="1" applyFill="1" applyBorder="1" applyAlignment="1">
      <alignment horizontal="center" vertical="top"/>
    </xf>
    <xf numFmtId="3" fontId="47" fillId="16" borderId="21" xfId="0" applyNumberFormat="1" applyFont="1" applyFill="1" applyBorder="1" applyAlignment="1">
      <alignment horizontal="center"/>
    </xf>
    <xf numFmtId="3" fontId="47" fillId="16" borderId="21" xfId="0" applyNumberFormat="1" applyFont="1" applyFill="1" applyBorder="1" applyAlignment="1">
      <alignment horizontal="center" vertical="center"/>
    </xf>
    <xf numFmtId="0" fontId="23" fillId="0" borderId="47" xfId="0" applyFont="1" applyBorder="1" applyAlignment="1">
      <alignment horizontal="center" vertical="top"/>
    </xf>
    <xf numFmtId="0" fontId="45" fillId="0" borderId="4" xfId="0" applyFont="1" applyBorder="1" applyAlignment="1">
      <alignment horizontal="left" vertical="top"/>
    </xf>
    <xf numFmtId="0" fontId="4" fillId="0" borderId="5" xfId="0" applyFont="1" applyBorder="1" applyAlignment="1">
      <alignment horizontal="center" vertical="top"/>
    </xf>
    <xf numFmtId="0" fontId="2" fillId="17" borderId="5" xfId="0" applyFont="1" applyFill="1" applyBorder="1" applyAlignment="1">
      <alignment horizontal="left" vertical="top"/>
    </xf>
    <xf numFmtId="3" fontId="0" fillId="3" borderId="5" xfId="0" applyNumberFormat="1" applyFill="1" applyBorder="1" applyAlignment="1">
      <alignment horizontal="center"/>
    </xf>
    <xf numFmtId="3" fontId="2" fillId="0" borderId="5" xfId="0" applyNumberFormat="1" applyFont="1" applyBorder="1" applyAlignment="1">
      <alignment horizontal="center" vertical="center"/>
    </xf>
    <xf numFmtId="0" fontId="23" fillId="0" borderId="6" xfId="0" applyFont="1" applyBorder="1" applyAlignment="1">
      <alignment horizontal="center" vertical="top"/>
    </xf>
    <xf numFmtId="0" fontId="2" fillId="0" borderId="93" xfId="0" applyFont="1" applyBorder="1" applyAlignment="1">
      <alignment horizontal="left" vertical="top"/>
    </xf>
    <xf numFmtId="0" fontId="47" fillId="0" borderId="21" xfId="0" applyFont="1" applyBorder="1" applyAlignment="1">
      <alignment horizontal="left" vertical="top"/>
    </xf>
    <xf numFmtId="0" fontId="47" fillId="0" borderId="21" xfId="0" applyFont="1" applyBorder="1" applyAlignment="1">
      <alignment horizontal="center" vertical="top"/>
    </xf>
    <xf numFmtId="0" fontId="47" fillId="0" borderId="21" xfId="0" applyFont="1" applyBorder="1" applyAlignment="1">
      <alignment horizontal="left" vertical="top" wrapText="1"/>
    </xf>
    <xf numFmtId="3" fontId="47" fillId="0" borderId="21" xfId="0" applyNumberFormat="1" applyFont="1" applyBorder="1" applyAlignment="1">
      <alignment horizontal="center" vertical="top"/>
    </xf>
    <xf numFmtId="3" fontId="47" fillId="0" borderId="21" xfId="0" applyNumberFormat="1" applyFont="1" applyBorder="1" applyAlignment="1">
      <alignment horizontal="right" vertical="center"/>
    </xf>
    <xf numFmtId="0" fontId="0" fillId="13" borderId="93" xfId="0" applyFill="1" applyBorder="1" applyAlignment="1">
      <alignment horizontal="left" vertical="top"/>
    </xf>
    <xf numFmtId="0" fontId="0" fillId="13" borderId="21" xfId="0" applyFill="1" applyBorder="1" applyAlignment="1">
      <alignment horizontal="left" vertical="top"/>
    </xf>
    <xf numFmtId="0" fontId="2" fillId="13" borderId="21" xfId="0" applyFont="1" applyFill="1" applyBorder="1" applyAlignment="1">
      <alignment horizontal="center" vertical="top"/>
    </xf>
    <xf numFmtId="0" fontId="0" fillId="13" borderId="21" xfId="0" applyFill="1" applyBorder="1" applyAlignment="1">
      <alignment horizontal="center" vertical="top"/>
    </xf>
    <xf numFmtId="0" fontId="2" fillId="13" borderId="21" xfId="0" applyFont="1" applyFill="1" applyBorder="1" applyAlignment="1">
      <alignment horizontal="left" vertical="top"/>
    </xf>
    <xf numFmtId="0" fontId="2" fillId="17" borderId="21" xfId="0" applyFont="1" applyFill="1" applyBorder="1" applyAlignment="1">
      <alignment horizontal="left" vertical="top"/>
    </xf>
    <xf numFmtId="3" fontId="0" fillId="13" borderId="21" xfId="0" applyNumberFormat="1" applyFill="1" applyBorder="1" applyAlignment="1">
      <alignment horizontal="center" vertical="top"/>
    </xf>
    <xf numFmtId="3" fontId="0" fillId="13" borderId="21" xfId="0" applyNumberFormat="1" applyFill="1" applyBorder="1" applyAlignment="1">
      <alignment horizontal="center" vertical="center"/>
    </xf>
    <xf numFmtId="0" fontId="1" fillId="0" borderId="91" xfId="0" applyFont="1" applyBorder="1" applyAlignment="1">
      <alignment horizontal="left" vertical="top" wrapText="1"/>
    </xf>
    <xf numFmtId="0" fontId="0" fillId="0" borderId="92" xfId="0" applyBorder="1" applyAlignment="1">
      <alignment horizontal="left" vertical="top"/>
    </xf>
    <xf numFmtId="0" fontId="0" fillId="0" borderId="92" xfId="0" applyBorder="1" applyAlignment="1">
      <alignment vertical="top"/>
    </xf>
    <xf numFmtId="0" fontId="0" fillId="0" borderId="92" xfId="0" applyBorder="1" applyAlignment="1">
      <alignment horizontal="center" vertical="top"/>
    </xf>
    <xf numFmtId="3" fontId="0" fillId="0" borderId="92" xfId="0" applyNumberFormat="1" applyBorder="1" applyAlignment="1">
      <alignment horizontal="center" vertical="top"/>
    </xf>
    <xf numFmtId="3" fontId="0" fillId="0" borderId="92" xfId="0" applyNumberFormat="1" applyBorder="1" applyAlignment="1">
      <alignment horizontal="center" vertical="center"/>
    </xf>
    <xf numFmtId="0" fontId="1" fillId="13" borderId="91" xfId="0" applyFont="1" applyFill="1" applyBorder="1" applyAlignment="1">
      <alignment horizontal="left" vertical="top" wrapText="1"/>
    </xf>
    <xf numFmtId="0" fontId="0" fillId="13" borderId="92" xfId="0" applyFill="1" applyBorder="1" applyAlignment="1">
      <alignment horizontal="left" vertical="top"/>
    </xf>
    <xf numFmtId="0" fontId="2" fillId="13" borderId="92" xfId="0" applyFont="1" applyFill="1" applyBorder="1" applyAlignment="1">
      <alignment horizontal="center" vertical="top"/>
    </xf>
    <xf numFmtId="0" fontId="0" fillId="13" borderId="92" xfId="0" applyFill="1" applyBorder="1" applyAlignment="1">
      <alignment horizontal="center" vertical="top"/>
    </xf>
    <xf numFmtId="0" fontId="2" fillId="13" borderId="92" xfId="0" applyFont="1" applyFill="1" applyBorder="1" applyAlignment="1">
      <alignment horizontal="left" vertical="top"/>
    </xf>
    <xf numFmtId="3" fontId="0" fillId="13" borderId="92" xfId="0" applyNumberFormat="1" applyFill="1" applyBorder="1" applyAlignment="1">
      <alignment horizontal="center" vertical="top"/>
    </xf>
    <xf numFmtId="0" fontId="2" fillId="13" borderId="70" xfId="0" applyFont="1" applyFill="1" applyBorder="1" applyAlignment="1">
      <alignment horizontal="center" vertical="top"/>
    </xf>
    <xf numFmtId="0" fontId="0" fillId="3" borderId="5" xfId="0" applyFill="1" applyBorder="1" applyAlignment="1">
      <alignment horizontal="center" vertical="top"/>
    </xf>
    <xf numFmtId="0" fontId="0" fillId="3" borderId="5" xfId="0" applyFill="1" applyBorder="1" applyAlignment="1">
      <alignment horizontal="left" vertical="top"/>
    </xf>
    <xf numFmtId="0" fontId="0" fillId="3" borderId="5" xfId="0" applyFill="1" applyBorder="1" applyAlignment="1">
      <alignment vertical="top"/>
    </xf>
    <xf numFmtId="0" fontId="0" fillId="3" borderId="16" xfId="0" applyFill="1" applyBorder="1" applyAlignment="1">
      <alignment horizontal="center" vertical="top"/>
    </xf>
    <xf numFmtId="0" fontId="0" fillId="3" borderId="16" xfId="0" applyFill="1" applyBorder="1" applyAlignment="1">
      <alignment horizontal="left" vertical="top"/>
    </xf>
    <xf numFmtId="0" fontId="0" fillId="3" borderId="16" xfId="0" applyFill="1" applyBorder="1" applyAlignment="1">
      <alignment vertical="top"/>
    </xf>
    <xf numFmtId="0" fontId="0" fillId="17" borderId="16" xfId="0" applyFill="1" applyBorder="1" applyAlignment="1">
      <alignment vertical="top"/>
    </xf>
    <xf numFmtId="3" fontId="0" fillId="0" borderId="0" xfId="0" applyNumberFormat="1"/>
    <xf numFmtId="3" fontId="23" fillId="0" borderId="0" xfId="0" applyNumberFormat="1" applyFont="1"/>
    <xf numFmtId="0" fontId="0" fillId="11" borderId="36" xfId="0" applyFill="1" applyBorder="1" applyAlignment="1" applyProtection="1">
      <alignment vertical="top" wrapText="1"/>
      <protection locked="0"/>
    </xf>
    <xf numFmtId="0" fontId="50" fillId="0" borderId="0" xfId="0" applyFont="1" applyAlignment="1">
      <alignment vertical="center"/>
    </xf>
    <xf numFmtId="164" fontId="49" fillId="4" borderId="23" xfId="0" applyNumberFormat="1" applyFont="1" applyFill="1" applyBorder="1" applyAlignment="1">
      <alignment horizontal="center" vertical="center" wrapText="1"/>
    </xf>
    <xf numFmtId="0" fontId="42" fillId="11" borderId="1" xfId="0" applyFont="1" applyFill="1" applyBorder="1" applyAlignment="1" applyProtection="1">
      <alignment horizontal="center" vertical="top" wrapText="1"/>
      <protection locked="0"/>
    </xf>
    <xf numFmtId="0" fontId="42" fillId="11" borderId="21" xfId="0" applyFont="1" applyFill="1" applyBorder="1" applyAlignment="1" applyProtection="1">
      <alignment horizontal="center" vertical="top" wrapText="1"/>
      <protection locked="0"/>
    </xf>
    <xf numFmtId="0" fontId="2" fillId="3" borderId="16" xfId="0" applyFont="1" applyFill="1" applyBorder="1" applyAlignment="1">
      <alignment horizontal="left" vertical="top"/>
    </xf>
    <xf numFmtId="0" fontId="0" fillId="3" borderId="16" xfId="0" applyFill="1" applyBorder="1" applyAlignment="1">
      <alignment vertical="top" wrapText="1"/>
    </xf>
    <xf numFmtId="0" fontId="0" fillId="3" borderId="16" xfId="0" applyFill="1" applyBorder="1" applyAlignment="1">
      <alignment horizontal="center" vertical="center"/>
    </xf>
    <xf numFmtId="0" fontId="2" fillId="17" borderId="92" xfId="0" applyFont="1" applyFill="1" applyBorder="1" applyAlignment="1">
      <alignment horizontal="left" vertical="top"/>
    </xf>
    <xf numFmtId="3" fontId="48" fillId="0" borderId="4" xfId="0" applyNumberFormat="1" applyFont="1" applyBorder="1" applyAlignment="1">
      <alignment vertical="top"/>
    </xf>
    <xf numFmtId="3" fontId="48" fillId="0" borderId="5" xfId="0" applyNumberFormat="1" applyFont="1" applyBorder="1" applyAlignment="1">
      <alignment vertical="top"/>
    </xf>
    <xf numFmtId="3" fontId="48" fillId="0" borderId="6" xfId="0" applyNumberFormat="1" applyFont="1" applyBorder="1" applyAlignment="1">
      <alignment vertical="top"/>
    </xf>
    <xf numFmtId="3" fontId="42" fillId="11" borderId="19" xfId="0" applyNumberFormat="1" applyFont="1" applyFill="1" applyBorder="1" applyAlignment="1" applyProtection="1">
      <alignment horizontal="right" vertical="top"/>
      <protection locked="0"/>
    </xf>
    <xf numFmtId="3" fontId="42" fillId="11" borderId="35" xfId="0" applyNumberFormat="1" applyFont="1" applyFill="1" applyBorder="1" applyAlignment="1" applyProtection="1">
      <alignment vertical="top"/>
      <protection locked="0"/>
    </xf>
    <xf numFmtId="3" fontId="42" fillId="11" borderId="17" xfId="0" applyNumberFormat="1" applyFont="1" applyFill="1" applyBorder="1" applyAlignment="1" applyProtection="1">
      <alignment vertical="top"/>
      <protection locked="0"/>
    </xf>
    <xf numFmtId="3" fontId="42" fillId="11" borderId="15" xfId="0" applyNumberFormat="1" applyFont="1" applyFill="1" applyBorder="1" applyAlignment="1" applyProtection="1">
      <alignment vertical="top"/>
      <protection locked="0"/>
    </xf>
    <xf numFmtId="3" fontId="42" fillId="11" borderId="19" xfId="0" applyNumberFormat="1" applyFont="1" applyFill="1" applyBorder="1" applyAlignment="1" applyProtection="1">
      <alignment vertical="top"/>
      <protection locked="0"/>
    </xf>
    <xf numFmtId="3" fontId="42" fillId="11" borderId="35" xfId="0" applyNumberFormat="1" applyFont="1" applyFill="1" applyBorder="1" applyAlignment="1" applyProtection="1">
      <alignment horizontal="right" vertical="top"/>
      <protection locked="0"/>
    </xf>
    <xf numFmtId="3" fontId="42" fillId="11" borderId="17" xfId="0" applyNumberFormat="1" applyFont="1" applyFill="1" applyBorder="1" applyAlignment="1" applyProtection="1">
      <alignment horizontal="right" vertical="top"/>
      <protection locked="0"/>
    </xf>
    <xf numFmtId="3" fontId="42" fillId="11" borderId="15" xfId="0" applyNumberFormat="1" applyFont="1" applyFill="1" applyBorder="1" applyAlignment="1" applyProtection="1">
      <alignment horizontal="right" vertical="top"/>
      <protection locked="0"/>
    </xf>
    <xf numFmtId="3" fontId="42" fillId="11" borderId="74" xfId="0" applyNumberFormat="1" applyFont="1" applyFill="1" applyBorder="1" applyAlignment="1" applyProtection="1">
      <alignment horizontal="right" vertical="top"/>
      <protection locked="0"/>
    </xf>
    <xf numFmtId="3" fontId="42" fillId="0" borderId="71" xfId="0" applyNumberFormat="1" applyFont="1" applyBorder="1" applyAlignment="1">
      <alignment vertical="top"/>
    </xf>
    <xf numFmtId="0" fontId="1" fillId="3" borderId="18" xfId="0" applyFont="1" applyFill="1" applyBorder="1" applyAlignment="1">
      <alignment vertical="top"/>
    </xf>
    <xf numFmtId="3" fontId="49" fillId="11" borderId="35" xfId="0" applyNumberFormat="1" applyFont="1" applyFill="1" applyBorder="1" applyAlignment="1" applyProtection="1">
      <alignment horizontal="left" vertical="top" wrapText="1"/>
      <protection locked="0"/>
    </xf>
    <xf numFmtId="49" fontId="54" fillId="4" borderId="92" xfId="0" applyNumberFormat="1" applyFont="1" applyFill="1" applyBorder="1" applyAlignment="1">
      <alignment horizontal="center" vertical="top" wrapText="1"/>
    </xf>
    <xf numFmtId="0" fontId="50" fillId="0" borderId="0" xfId="0" applyFont="1" applyAlignment="1">
      <alignment horizontal="center" vertical="top"/>
    </xf>
    <xf numFmtId="0" fontId="53" fillId="0" borderId="0" xfId="0" applyFont="1" applyAlignment="1">
      <alignment horizontal="center" vertical="top"/>
    </xf>
    <xf numFmtId="0" fontId="42" fillId="11" borderId="45" xfId="0" applyFont="1" applyFill="1" applyBorder="1" applyAlignment="1" applyProtection="1">
      <alignment horizontal="center" vertical="top" wrapText="1"/>
      <protection locked="0"/>
    </xf>
    <xf numFmtId="0" fontId="42" fillId="0" borderId="16" xfId="0" applyFont="1" applyBorder="1" applyAlignment="1">
      <alignment horizontal="center" vertical="top"/>
    </xf>
    <xf numFmtId="3" fontId="0" fillId="3" borderId="16" xfId="0" applyNumberFormat="1" applyFill="1" applyBorder="1" applyAlignment="1">
      <alignment horizontal="center" vertical="top"/>
    </xf>
    <xf numFmtId="3" fontId="48" fillId="11" borderId="41" xfId="0" applyNumberFormat="1" applyFont="1" applyFill="1" applyBorder="1" applyAlignment="1" applyProtection="1">
      <alignment horizontal="left" vertical="top" wrapText="1"/>
      <protection locked="0"/>
    </xf>
    <xf numFmtId="3" fontId="50" fillId="11" borderId="3" xfId="0" applyNumberFormat="1" applyFont="1" applyFill="1" applyBorder="1" applyAlignment="1" applyProtection="1">
      <alignment horizontal="right" vertical="top" wrapText="1"/>
      <protection locked="0"/>
    </xf>
    <xf numFmtId="3" fontId="42" fillId="0" borderId="0" xfId="0" applyNumberFormat="1" applyFont="1" applyAlignment="1" applyProtection="1">
      <alignment horizontal="right" vertical="top"/>
      <protection locked="0"/>
    </xf>
    <xf numFmtId="0" fontId="49" fillId="0" borderId="0" xfId="0" applyFont="1" applyAlignment="1">
      <alignment horizontal="center" vertical="top"/>
    </xf>
    <xf numFmtId="3" fontId="42" fillId="0" borderId="0" xfId="0" applyNumberFormat="1" applyFont="1" applyAlignment="1">
      <alignment vertical="top"/>
    </xf>
    <xf numFmtId="0" fontId="42" fillId="18" borderId="1" xfId="0" applyFont="1" applyFill="1" applyBorder="1" applyAlignment="1" applyProtection="1">
      <alignment horizontal="left" vertical="top" wrapText="1"/>
      <protection locked="0"/>
    </xf>
    <xf numFmtId="0" fontId="48" fillId="18" borderId="1" xfId="1" applyFont="1" applyFill="1" applyBorder="1" applyAlignment="1" applyProtection="1">
      <alignment horizontal="left" vertical="top" wrapText="1"/>
      <protection locked="0"/>
    </xf>
    <xf numFmtId="0" fontId="48" fillId="18" borderId="1" xfId="0" applyFont="1" applyFill="1" applyBorder="1" applyAlignment="1" applyProtection="1">
      <alignment horizontal="left" vertical="top" wrapText="1"/>
      <protection locked="0"/>
    </xf>
    <xf numFmtId="0" fontId="42" fillId="18" borderId="1" xfId="1" applyFont="1" applyFill="1" applyBorder="1" applyAlignment="1" applyProtection="1">
      <alignment horizontal="left" vertical="top" wrapText="1"/>
      <protection locked="0"/>
    </xf>
    <xf numFmtId="0" fontId="48" fillId="18" borderId="21" xfId="1" applyFont="1" applyFill="1" applyBorder="1" applyAlignment="1" applyProtection="1">
      <alignment horizontal="left" vertical="top" wrapText="1"/>
      <protection locked="0"/>
    </xf>
    <xf numFmtId="0" fontId="42" fillId="19" borderId="0" xfId="0" applyFont="1" applyFill="1" applyAlignment="1">
      <alignment vertical="top"/>
    </xf>
    <xf numFmtId="0" fontId="1" fillId="0" borderId="0" xfId="0" applyFont="1"/>
    <xf numFmtId="0" fontId="24" fillId="0" borderId="0" xfId="0" applyFont="1"/>
    <xf numFmtId="3" fontId="42" fillId="11" borderId="22" xfId="0" applyNumberFormat="1" applyFont="1" applyFill="1" applyBorder="1" applyAlignment="1" applyProtection="1">
      <alignment vertical="top"/>
      <protection locked="0"/>
    </xf>
    <xf numFmtId="164" fontId="50" fillId="4" borderId="81" xfId="0" applyNumberFormat="1" applyFont="1" applyFill="1" applyBorder="1" applyAlignment="1">
      <alignment horizontal="center" vertical="top" wrapText="1"/>
    </xf>
    <xf numFmtId="164" fontId="50" fillId="4" borderId="92" xfId="0" applyNumberFormat="1" applyFont="1" applyFill="1" applyBorder="1" applyAlignment="1">
      <alignment horizontal="center" vertical="top" wrapText="1"/>
    </xf>
    <xf numFmtId="164" fontId="50" fillId="4" borderId="70" xfId="0" applyNumberFormat="1" applyFont="1" applyFill="1" applyBorder="1" applyAlignment="1">
      <alignment horizontal="center" vertical="top" wrapText="1"/>
    </xf>
    <xf numFmtId="3" fontId="42" fillId="11" borderId="18" xfId="0" applyNumberFormat="1" applyFont="1" applyFill="1" applyBorder="1" applyAlignment="1" applyProtection="1">
      <alignment vertical="top"/>
      <protection locked="0"/>
    </xf>
    <xf numFmtId="3" fontId="42" fillId="11" borderId="16" xfId="0" applyNumberFormat="1" applyFont="1" applyFill="1" applyBorder="1" applyAlignment="1" applyProtection="1">
      <alignment vertical="top"/>
      <protection locked="0"/>
    </xf>
    <xf numFmtId="164" fontId="50" fillId="4" borderId="91" xfId="0" applyNumberFormat="1" applyFont="1" applyFill="1" applyBorder="1" applyAlignment="1">
      <alignment horizontal="center" vertical="top" wrapText="1"/>
    </xf>
    <xf numFmtId="164" fontId="50" fillId="4" borderId="90" xfId="0" applyNumberFormat="1" applyFont="1" applyFill="1" applyBorder="1" applyAlignment="1">
      <alignment horizontal="center" vertical="top" wrapText="1"/>
    </xf>
    <xf numFmtId="0" fontId="1" fillId="3" borderId="4" xfId="0" applyFont="1" applyFill="1" applyBorder="1" applyAlignment="1">
      <alignment vertical="top" wrapText="1"/>
    </xf>
    <xf numFmtId="0" fontId="2" fillId="3" borderId="5" xfId="0" applyFont="1" applyFill="1" applyBorder="1" applyAlignment="1">
      <alignment horizontal="left" vertical="top"/>
    </xf>
    <xf numFmtId="0" fontId="2" fillId="3" borderId="5" xfId="0" applyFont="1" applyFill="1" applyBorder="1" applyAlignment="1">
      <alignment horizontal="center" vertical="top"/>
    </xf>
    <xf numFmtId="0" fontId="0" fillId="3" borderId="5" xfId="0" applyFill="1" applyBorder="1" applyAlignment="1">
      <alignment vertical="top" wrapText="1"/>
    </xf>
    <xf numFmtId="0" fontId="0" fillId="3" borderId="5" xfId="0" applyFill="1" applyBorder="1" applyAlignment="1">
      <alignment horizontal="center" vertical="center"/>
    </xf>
    <xf numFmtId="0" fontId="0" fillId="17" borderId="5" xfId="0" applyFill="1" applyBorder="1" applyAlignment="1">
      <alignment vertical="top"/>
    </xf>
    <xf numFmtId="3" fontId="0" fillId="3" borderId="5" xfId="0" applyNumberFormat="1" applyFill="1" applyBorder="1" applyAlignment="1">
      <alignment horizontal="center" vertical="top"/>
    </xf>
    <xf numFmtId="0" fontId="0" fillId="3" borderId="8" xfId="0" applyFill="1" applyBorder="1" applyAlignment="1">
      <alignment horizontal="left" vertical="top"/>
    </xf>
    <xf numFmtId="0" fontId="23" fillId="0" borderId="15" xfId="0" applyFont="1" applyBorder="1" applyAlignment="1">
      <alignment horizontal="center" vertical="top"/>
    </xf>
    <xf numFmtId="0" fontId="0" fillId="13" borderId="5" xfId="0" applyFill="1" applyBorder="1" applyAlignment="1">
      <alignment vertical="center"/>
    </xf>
    <xf numFmtId="0" fontId="0" fillId="13" borderId="5" xfId="0" applyFill="1" applyBorder="1" applyAlignment="1">
      <alignment horizontal="center" vertical="center"/>
    </xf>
    <xf numFmtId="0" fontId="0" fillId="16" borderId="5" xfId="0" applyFill="1" applyBorder="1" applyAlignment="1">
      <alignment vertical="center"/>
    </xf>
    <xf numFmtId="0" fontId="0" fillId="17" borderId="5" xfId="0" applyFill="1" applyBorder="1" applyAlignment="1">
      <alignment vertical="center"/>
    </xf>
    <xf numFmtId="0" fontId="0" fillId="13" borderId="19" xfId="0" applyFill="1" applyBorder="1" applyAlignment="1">
      <alignment vertical="center"/>
    </xf>
    <xf numFmtId="0" fontId="0" fillId="13" borderId="3" xfId="0" applyFill="1" applyBorder="1" applyAlignment="1">
      <alignment horizontal="center" vertical="center"/>
    </xf>
    <xf numFmtId="0" fontId="0" fillId="13" borderId="3" xfId="0" applyFill="1" applyBorder="1" applyAlignment="1">
      <alignment vertical="center"/>
    </xf>
    <xf numFmtId="0" fontId="0" fillId="16" borderId="3" xfId="0" applyFill="1" applyBorder="1" applyAlignment="1">
      <alignment vertical="center"/>
    </xf>
    <xf numFmtId="0" fontId="2" fillId="13" borderId="19" xfId="0" applyFont="1" applyFill="1" applyBorder="1" applyAlignment="1">
      <alignment horizontal="left" vertical="center"/>
    </xf>
    <xf numFmtId="0" fontId="2" fillId="13" borderId="3" xfId="0" applyFont="1" applyFill="1" applyBorder="1" applyAlignment="1">
      <alignment horizontal="center" vertical="center"/>
    </xf>
    <xf numFmtId="0" fontId="2" fillId="13" borderId="3" xfId="0" applyFont="1" applyFill="1" applyBorder="1" applyAlignment="1">
      <alignment horizontal="left" vertical="center"/>
    </xf>
    <xf numFmtId="0" fontId="4" fillId="13" borderId="3" xfId="0" applyFont="1" applyFill="1" applyBorder="1" applyAlignment="1">
      <alignment horizontal="center" vertical="center"/>
    </xf>
    <xf numFmtId="0" fontId="2" fillId="16" borderId="3" xfId="0" applyFont="1" applyFill="1" applyBorder="1" applyAlignment="1">
      <alignment horizontal="left" vertical="center"/>
    </xf>
    <xf numFmtId="0" fontId="2" fillId="17" borderId="3" xfId="0" applyFont="1" applyFill="1" applyBorder="1" applyAlignment="1">
      <alignment horizontal="left" vertical="center"/>
    </xf>
    <xf numFmtId="0" fontId="2" fillId="13" borderId="72" xfId="0" applyFont="1" applyFill="1" applyBorder="1" applyAlignment="1">
      <alignment horizontal="left" vertical="center"/>
    </xf>
    <xf numFmtId="0" fontId="0" fillId="13" borderId="16" xfId="0" applyFill="1" applyBorder="1" applyAlignment="1">
      <alignment horizontal="center" vertical="center"/>
    </xf>
    <xf numFmtId="0" fontId="0" fillId="13" borderId="16" xfId="0" applyFill="1" applyBorder="1" applyAlignment="1">
      <alignment vertical="center"/>
    </xf>
    <xf numFmtId="3" fontId="0" fillId="13" borderId="5" xfId="0" applyNumberFormat="1" applyFill="1" applyBorder="1" applyAlignment="1">
      <alignment horizontal="center" vertical="center"/>
    </xf>
    <xf numFmtId="3" fontId="0" fillId="13" borderId="16" xfId="0" applyNumberFormat="1" applyFill="1" applyBorder="1" applyAlignment="1">
      <alignment horizontal="center" vertical="center"/>
    </xf>
    <xf numFmtId="3" fontId="42" fillId="11" borderId="18" xfId="0" applyNumberFormat="1" applyFont="1" applyFill="1" applyBorder="1" applyAlignment="1" applyProtection="1">
      <alignment horizontal="right" vertical="top"/>
      <protection locked="0"/>
    </xf>
    <xf numFmtId="3" fontId="42" fillId="11" borderId="16" xfId="0" applyNumberFormat="1" applyFont="1" applyFill="1" applyBorder="1" applyAlignment="1" applyProtection="1">
      <alignment horizontal="right" vertical="top"/>
      <protection locked="0"/>
    </xf>
    <xf numFmtId="3" fontId="42" fillId="11" borderId="41" xfId="0" applyNumberFormat="1" applyFont="1" applyFill="1" applyBorder="1" applyAlignment="1" applyProtection="1">
      <alignment horizontal="right" vertical="top"/>
      <protection locked="0"/>
    </xf>
    <xf numFmtId="49" fontId="54" fillId="4" borderId="91" xfId="0" applyNumberFormat="1" applyFont="1" applyFill="1" applyBorder="1" applyAlignment="1">
      <alignment horizontal="center" vertical="top" wrapText="1"/>
    </xf>
    <xf numFmtId="1" fontId="54" fillId="4" borderId="92" xfId="0" applyNumberFormat="1" applyFont="1" applyFill="1" applyBorder="1" applyAlignment="1">
      <alignment horizontal="center" vertical="top" wrapText="1"/>
    </xf>
    <xf numFmtId="0" fontId="54" fillId="4" borderId="92" xfId="0" applyFont="1" applyFill="1" applyBorder="1" applyAlignment="1">
      <alignment horizontal="center" vertical="top" wrapText="1"/>
    </xf>
    <xf numFmtId="164" fontId="56" fillId="4" borderId="92" xfId="0" applyNumberFormat="1" applyFont="1" applyFill="1" applyBorder="1" applyAlignment="1">
      <alignment horizontal="center" vertical="top" wrapText="1"/>
    </xf>
    <xf numFmtId="0" fontId="42" fillId="11" borderId="4" xfId="0" applyFont="1" applyFill="1" applyBorder="1" applyAlignment="1" applyProtection="1">
      <alignment horizontal="left" vertical="top" wrapText="1"/>
      <protection locked="0"/>
    </xf>
    <xf numFmtId="0" fontId="42" fillId="11" borderId="5" xfId="0" applyFont="1" applyFill="1" applyBorder="1" applyAlignment="1" applyProtection="1">
      <alignment horizontal="left" vertical="top" wrapText="1"/>
      <protection locked="0"/>
    </xf>
    <xf numFmtId="0" fontId="42" fillId="18" borderId="5" xfId="0" applyFont="1" applyFill="1" applyBorder="1" applyAlignment="1" applyProtection="1">
      <alignment horizontal="left" vertical="top" wrapText="1"/>
      <protection locked="0"/>
    </xf>
    <xf numFmtId="0" fontId="42" fillId="11" borderId="5" xfId="0" applyFont="1" applyFill="1" applyBorder="1" applyAlignment="1" applyProtection="1">
      <alignment horizontal="center" vertical="top" wrapText="1"/>
      <protection locked="0"/>
    </xf>
    <xf numFmtId="0" fontId="42" fillId="11" borderId="6" xfId="0" applyFont="1" applyFill="1" applyBorder="1" applyAlignment="1" applyProtection="1">
      <alignment horizontal="left" vertical="top" wrapText="1"/>
      <protection locked="0"/>
    </xf>
    <xf numFmtId="0" fontId="42" fillId="11" borderId="14" xfId="0" applyFont="1" applyFill="1" applyBorder="1" applyAlignment="1" applyProtection="1">
      <alignment horizontal="left" vertical="top" wrapText="1"/>
      <protection locked="0"/>
    </xf>
    <xf numFmtId="0" fontId="42" fillId="11" borderId="12" xfId="0" applyFont="1" applyFill="1" applyBorder="1" applyAlignment="1" applyProtection="1">
      <alignment horizontal="left" vertical="top" wrapText="1"/>
      <protection locked="0"/>
    </xf>
    <xf numFmtId="0" fontId="42" fillId="11" borderId="18" xfId="0" applyFont="1" applyFill="1" applyBorder="1" applyAlignment="1" applyProtection="1">
      <alignment horizontal="left" vertical="top" wrapText="1"/>
      <protection locked="0"/>
    </xf>
    <xf numFmtId="0" fontId="42" fillId="11" borderId="16" xfId="0" applyFont="1" applyFill="1" applyBorder="1" applyAlignment="1" applyProtection="1">
      <alignment horizontal="left" vertical="top" wrapText="1"/>
      <protection locked="0"/>
    </xf>
    <xf numFmtId="0" fontId="42" fillId="11" borderId="16" xfId="1" applyFont="1" applyFill="1" applyBorder="1" applyAlignment="1" applyProtection="1">
      <alignment horizontal="left" vertical="top" wrapText="1"/>
      <protection locked="0"/>
    </xf>
    <xf numFmtId="0" fontId="42" fillId="11" borderId="16" xfId="0" applyFont="1" applyFill="1" applyBorder="1" applyAlignment="1" applyProtection="1">
      <alignment horizontal="center" vertical="top" wrapText="1"/>
      <protection locked="0"/>
    </xf>
    <xf numFmtId="0" fontId="42" fillId="11" borderId="15" xfId="0" applyFont="1" applyFill="1" applyBorder="1" applyAlignment="1" applyProtection="1">
      <alignment horizontal="left" vertical="top" wrapText="1"/>
      <protection locked="0"/>
    </xf>
    <xf numFmtId="3" fontId="42" fillId="12" borderId="16" xfId="0" applyNumberFormat="1" applyFont="1" applyFill="1" applyBorder="1" applyAlignment="1">
      <alignment vertical="top"/>
    </xf>
    <xf numFmtId="3" fontId="48" fillId="12" borderId="38" xfId="0" applyNumberFormat="1" applyFont="1" applyFill="1" applyBorder="1" applyAlignment="1">
      <alignment vertical="top"/>
    </xf>
    <xf numFmtId="3" fontId="48" fillId="12" borderId="59" xfId="0" applyNumberFormat="1" applyFont="1" applyFill="1" applyBorder="1" applyAlignment="1">
      <alignment vertical="top"/>
    </xf>
    <xf numFmtId="3" fontId="42" fillId="11" borderId="41" xfId="0" applyNumberFormat="1" applyFont="1" applyFill="1" applyBorder="1" applyAlignment="1" applyProtection="1">
      <alignment vertical="top"/>
      <protection locked="0"/>
    </xf>
    <xf numFmtId="3" fontId="42" fillId="12" borderId="18" xfId="0" applyNumberFormat="1" applyFont="1" applyFill="1" applyBorder="1" applyAlignment="1">
      <alignment vertical="top"/>
    </xf>
    <xf numFmtId="3" fontId="42" fillId="12" borderId="15" xfId="0" applyNumberFormat="1" applyFont="1" applyFill="1" applyBorder="1" applyAlignment="1">
      <alignment vertical="top"/>
    </xf>
    <xf numFmtId="3" fontId="48" fillId="12" borderId="34" xfId="0" applyNumberFormat="1" applyFont="1" applyFill="1" applyBorder="1" applyAlignment="1">
      <alignment horizontal="center" vertical="top"/>
    </xf>
    <xf numFmtId="3" fontId="48" fillId="12" borderId="38" xfId="0" applyNumberFormat="1" applyFont="1" applyFill="1" applyBorder="1" applyAlignment="1">
      <alignment horizontal="center" vertical="top"/>
    </xf>
    <xf numFmtId="3" fontId="42" fillId="0" borderId="0" xfId="0" applyNumberFormat="1" applyFont="1" applyAlignment="1">
      <alignment horizontal="center" vertical="top"/>
    </xf>
    <xf numFmtId="0" fontId="50" fillId="0" borderId="0" xfId="0" applyFont="1" applyAlignment="1">
      <alignment horizontal="center" vertical="center"/>
    </xf>
    <xf numFmtId="0" fontId="50" fillId="0" borderId="54" xfId="0" applyFont="1" applyBorder="1" applyAlignment="1">
      <alignment horizontal="center" vertical="center"/>
    </xf>
    <xf numFmtId="3" fontId="50" fillId="0" borderId="0" xfId="0" applyNumberFormat="1" applyFont="1" applyAlignment="1">
      <alignment horizontal="center" vertical="center"/>
    </xf>
    <xf numFmtId="0" fontId="48" fillId="4" borderId="40" xfId="0" applyFont="1" applyFill="1" applyBorder="1" applyAlignment="1">
      <alignment horizontal="center" vertical="center"/>
    </xf>
    <xf numFmtId="0" fontId="48" fillId="4" borderId="8" xfId="0" applyFont="1" applyFill="1" applyBorder="1" applyAlignment="1">
      <alignment horizontal="center" vertical="center"/>
    </xf>
    <xf numFmtId="0" fontId="48" fillId="4" borderId="10" xfId="0" applyFont="1" applyFill="1" applyBorder="1" applyAlignment="1">
      <alignment horizontal="center" vertical="center"/>
    </xf>
    <xf numFmtId="3" fontId="42" fillId="12" borderId="4" xfId="0" applyNumberFormat="1" applyFont="1" applyFill="1" applyBorder="1" applyAlignment="1">
      <alignment horizontal="center" vertical="center"/>
    </xf>
    <xf numFmtId="3" fontId="42" fillId="12" borderId="5" xfId="0" applyNumberFormat="1" applyFont="1" applyFill="1" applyBorder="1" applyAlignment="1">
      <alignment horizontal="center" vertical="center"/>
    </xf>
    <xf numFmtId="3" fontId="42" fillId="12" borderId="6" xfId="0" applyNumberFormat="1" applyFont="1" applyFill="1" applyBorder="1" applyAlignment="1">
      <alignment horizontal="center" vertical="center"/>
    </xf>
    <xf numFmtId="3" fontId="42" fillId="11" borderId="69" xfId="0" applyNumberFormat="1" applyFont="1" applyFill="1" applyBorder="1" applyAlignment="1" applyProtection="1">
      <alignment horizontal="center" vertical="center"/>
      <protection locked="0"/>
    </xf>
    <xf numFmtId="3" fontId="42" fillId="11" borderId="68" xfId="0" applyNumberFormat="1" applyFont="1" applyFill="1" applyBorder="1" applyAlignment="1" applyProtection="1">
      <alignment horizontal="center" vertical="center"/>
      <protection locked="0"/>
    </xf>
    <xf numFmtId="3" fontId="57" fillId="11" borderId="4" xfId="0" applyNumberFormat="1" applyFont="1" applyFill="1" applyBorder="1" applyAlignment="1" applyProtection="1">
      <alignment horizontal="center" vertical="center"/>
      <protection locked="0"/>
    </xf>
    <xf numFmtId="3" fontId="57" fillId="11" borderId="5" xfId="0" applyNumberFormat="1" applyFont="1" applyFill="1" applyBorder="1" applyAlignment="1" applyProtection="1">
      <alignment horizontal="center" vertical="center"/>
      <protection locked="0"/>
    </xf>
    <xf numFmtId="3" fontId="57" fillId="11" borderId="68" xfId="0" applyNumberFormat="1" applyFont="1" applyFill="1" applyBorder="1" applyAlignment="1" applyProtection="1">
      <alignment horizontal="center" vertical="center"/>
      <protection locked="0"/>
    </xf>
    <xf numFmtId="3" fontId="42" fillId="11" borderId="5" xfId="0" applyNumberFormat="1" applyFont="1" applyFill="1" applyBorder="1" applyAlignment="1" applyProtection="1">
      <alignment horizontal="center" vertical="center"/>
      <protection locked="0"/>
    </xf>
    <xf numFmtId="3" fontId="42" fillId="11" borderId="6" xfId="0" applyNumberFormat="1" applyFont="1" applyFill="1" applyBorder="1" applyAlignment="1" applyProtection="1">
      <alignment horizontal="center" vertical="center"/>
      <protection locked="0"/>
    </xf>
    <xf numFmtId="3" fontId="42" fillId="11" borderId="34" xfId="0" applyNumberFormat="1" applyFont="1" applyFill="1" applyBorder="1" applyAlignment="1" applyProtection="1">
      <alignment horizontal="center" vertical="center"/>
      <protection locked="0"/>
    </xf>
    <xf numFmtId="3" fontId="42" fillId="11" borderId="4" xfId="0" applyNumberFormat="1" applyFont="1" applyFill="1" applyBorder="1" applyAlignment="1" applyProtection="1">
      <alignment horizontal="center" vertical="center"/>
      <protection locked="0"/>
    </xf>
    <xf numFmtId="3" fontId="42" fillId="12" borderId="13" xfId="0" applyNumberFormat="1" applyFont="1" applyFill="1" applyBorder="1" applyAlignment="1">
      <alignment horizontal="center" vertical="center"/>
    </xf>
    <xf numFmtId="3" fontId="42" fillId="12" borderId="3" xfId="0" applyNumberFormat="1" applyFont="1" applyFill="1" applyBorder="1" applyAlignment="1">
      <alignment horizontal="center" vertical="center"/>
    </xf>
    <xf numFmtId="3" fontId="42" fillId="12" borderId="12" xfId="0" applyNumberFormat="1" applyFont="1" applyFill="1" applyBorder="1" applyAlignment="1">
      <alignment horizontal="center" vertical="center"/>
    </xf>
    <xf numFmtId="3" fontId="18" fillId="11" borderId="132" xfId="0" applyNumberFormat="1" applyFont="1" applyFill="1" applyBorder="1" applyAlignment="1">
      <alignment horizontal="center" vertical="center"/>
    </xf>
    <xf numFmtId="3" fontId="18" fillId="11" borderId="11" xfId="0" applyNumberFormat="1" applyFont="1" applyFill="1" applyBorder="1" applyAlignment="1">
      <alignment horizontal="center" vertical="center"/>
    </xf>
    <xf numFmtId="3" fontId="18" fillId="11" borderId="1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134" xfId="0" applyNumberFormat="1" applyFont="1" applyFill="1" applyBorder="1" applyAlignment="1">
      <alignment horizontal="center" vertical="center"/>
    </xf>
    <xf numFmtId="3" fontId="18" fillId="11" borderId="133" xfId="0" applyNumberFormat="1" applyFont="1" applyFill="1" applyBorder="1" applyAlignment="1">
      <alignment horizontal="center" vertical="center"/>
    </xf>
    <xf numFmtId="3" fontId="18" fillId="11" borderId="131" xfId="0" applyNumberFormat="1" applyFont="1" applyFill="1" applyBorder="1" applyAlignment="1">
      <alignment horizontal="center" vertical="center"/>
    </xf>
    <xf numFmtId="3" fontId="18" fillId="11" borderId="135" xfId="0" applyNumberFormat="1" applyFont="1" applyFill="1" applyBorder="1" applyAlignment="1">
      <alignment horizontal="center" vertical="center"/>
    </xf>
    <xf numFmtId="3" fontId="42" fillId="11" borderId="12" xfId="0" applyNumberFormat="1" applyFont="1" applyFill="1" applyBorder="1" applyAlignment="1" applyProtection="1">
      <alignment horizontal="center" vertical="center"/>
      <protection locked="0"/>
    </xf>
    <xf numFmtId="3" fontId="42" fillId="11" borderId="22" xfId="0" applyNumberFormat="1" applyFont="1" applyFill="1" applyBorder="1" applyAlignment="1" applyProtection="1">
      <alignment horizontal="center" vertical="center"/>
      <protection locked="0"/>
    </xf>
    <xf numFmtId="3" fontId="42" fillId="11" borderId="2" xfId="0" applyNumberFormat="1" applyFont="1" applyFill="1" applyBorder="1" applyAlignment="1" applyProtection="1">
      <alignment horizontal="center" vertical="center"/>
      <protection locked="0"/>
    </xf>
    <xf numFmtId="3" fontId="42" fillId="11" borderId="13" xfId="0" applyNumberFormat="1" applyFont="1" applyFill="1" applyBorder="1" applyAlignment="1" applyProtection="1">
      <alignment horizontal="center" vertical="center"/>
      <protection locked="0"/>
    </xf>
    <xf numFmtId="3" fontId="57" fillId="11" borderId="3" xfId="0" applyNumberFormat="1" applyFont="1" applyFill="1" applyBorder="1" applyAlignment="1" applyProtection="1">
      <alignment horizontal="center" vertical="center"/>
      <protection locked="0"/>
    </xf>
    <xf numFmtId="3" fontId="42" fillId="11" borderId="11" xfId="0" applyNumberFormat="1" applyFont="1" applyFill="1" applyBorder="1" applyAlignment="1" applyProtection="1">
      <alignment horizontal="center" vertical="center"/>
      <protection locked="0"/>
    </xf>
    <xf numFmtId="3" fontId="57" fillId="11" borderId="22" xfId="0" applyNumberFormat="1" applyFont="1" applyFill="1" applyBorder="1" applyAlignment="1" applyProtection="1">
      <alignment horizontal="center" vertical="center"/>
      <protection locked="0"/>
    </xf>
    <xf numFmtId="3" fontId="57" fillId="11" borderId="2" xfId="0" applyNumberFormat="1" applyFont="1" applyFill="1" applyBorder="1" applyAlignment="1" applyProtection="1">
      <alignment horizontal="center" vertical="center"/>
      <protection locked="0"/>
    </xf>
    <xf numFmtId="3" fontId="57" fillId="11" borderId="14" xfId="0" applyNumberFormat="1" applyFont="1" applyFill="1" applyBorder="1" applyAlignment="1" applyProtection="1">
      <alignment horizontal="center" vertical="center"/>
      <protection locked="0"/>
    </xf>
    <xf numFmtId="3" fontId="57" fillId="11" borderId="38" xfId="0" applyNumberFormat="1" applyFont="1" applyFill="1" applyBorder="1" applyAlignment="1" applyProtection="1">
      <alignment horizontal="center" vertical="center"/>
      <protection locked="0"/>
    </xf>
    <xf numFmtId="3" fontId="57" fillId="11" borderId="13" xfId="0" applyNumberFormat="1" applyFont="1" applyFill="1" applyBorder="1" applyAlignment="1" applyProtection="1">
      <alignment horizontal="center" vertical="center"/>
      <protection locked="0"/>
    </xf>
    <xf numFmtId="3" fontId="42" fillId="11" borderId="3" xfId="0" applyNumberFormat="1" applyFont="1" applyFill="1" applyBorder="1" applyAlignment="1" applyProtection="1">
      <alignment horizontal="center" vertical="center"/>
      <protection locked="0"/>
    </xf>
    <xf numFmtId="3" fontId="57" fillId="11" borderId="11" xfId="0" applyNumberFormat="1" applyFont="1" applyFill="1" applyBorder="1" applyAlignment="1" applyProtection="1">
      <alignment horizontal="center" vertical="center"/>
      <protection locked="0"/>
    </xf>
    <xf numFmtId="3" fontId="42" fillId="11" borderId="14" xfId="0" applyNumberFormat="1" applyFont="1" applyFill="1" applyBorder="1" applyAlignment="1" applyProtection="1">
      <alignment horizontal="center" vertical="center"/>
      <protection locked="0"/>
    </xf>
    <xf numFmtId="3" fontId="42" fillId="11" borderId="38" xfId="0" applyNumberFormat="1" applyFont="1" applyFill="1" applyBorder="1" applyAlignment="1" applyProtection="1">
      <alignment horizontal="center" vertical="center"/>
      <protection locked="0"/>
    </xf>
    <xf numFmtId="3" fontId="18" fillId="11" borderId="3" xfId="0" applyNumberFormat="1" applyFont="1" applyFill="1" applyBorder="1" applyAlignment="1" applyProtection="1">
      <alignment horizontal="center" vertical="center"/>
      <protection locked="0"/>
    </xf>
    <xf numFmtId="3" fontId="18" fillId="11" borderId="22" xfId="0" applyNumberFormat="1" applyFont="1" applyFill="1" applyBorder="1" applyAlignment="1" applyProtection="1">
      <alignment horizontal="center" vertical="center"/>
      <protection locked="0"/>
    </xf>
    <xf numFmtId="3" fontId="18" fillId="11" borderId="2" xfId="0" applyNumberFormat="1" applyFont="1" applyFill="1" applyBorder="1" applyAlignment="1" applyProtection="1">
      <alignment horizontal="center" vertical="center"/>
      <protection locked="0"/>
    </xf>
    <xf numFmtId="3" fontId="18" fillId="11" borderId="14" xfId="0" applyNumberFormat="1" applyFont="1" applyFill="1" applyBorder="1" applyAlignment="1" applyProtection="1">
      <alignment horizontal="center" vertical="center"/>
      <protection locked="0"/>
    </xf>
    <xf numFmtId="3" fontId="18" fillId="11" borderId="38" xfId="0" applyNumberFormat="1" applyFont="1" applyFill="1" applyBorder="1" applyAlignment="1" applyProtection="1">
      <alignment horizontal="center" vertical="center"/>
      <protection locked="0"/>
    </xf>
    <xf numFmtId="3" fontId="18" fillId="11" borderId="13" xfId="0" applyNumberFormat="1" applyFont="1" applyFill="1" applyBorder="1" applyAlignment="1" applyProtection="1">
      <alignment horizontal="center" vertical="center"/>
      <protection locked="0"/>
    </xf>
    <xf numFmtId="3" fontId="42" fillId="11" borderId="43" xfId="0" applyNumberFormat="1" applyFont="1" applyFill="1" applyBorder="1" applyAlignment="1" applyProtection="1">
      <alignment horizontal="center" vertical="center"/>
      <protection locked="0"/>
    </xf>
    <xf numFmtId="3" fontId="42" fillId="11" borderId="44" xfId="0" applyNumberFormat="1" applyFont="1" applyFill="1" applyBorder="1" applyAlignment="1" applyProtection="1">
      <alignment horizontal="center" vertical="center"/>
      <protection locked="0"/>
    </xf>
    <xf numFmtId="3" fontId="42" fillId="11" borderId="47" xfId="0" applyNumberFormat="1" applyFont="1" applyFill="1" applyBorder="1" applyAlignment="1" applyProtection="1">
      <alignment horizontal="center" vertical="center"/>
      <protection locked="0"/>
    </xf>
    <xf numFmtId="3" fontId="42" fillId="11" borderId="49" xfId="0" applyNumberFormat="1" applyFont="1" applyFill="1" applyBorder="1" applyAlignment="1" applyProtection="1">
      <alignment horizontal="center" vertical="center"/>
      <protection locked="0"/>
    </xf>
    <xf numFmtId="3" fontId="50" fillId="0" borderId="4" xfId="0" applyNumberFormat="1" applyFont="1" applyBorder="1" applyAlignment="1">
      <alignment horizontal="center" vertical="center"/>
    </xf>
    <xf numFmtId="3" fontId="50" fillId="0" borderId="5" xfId="0" applyNumberFormat="1" applyFont="1" applyBorder="1" applyAlignment="1">
      <alignment horizontal="center" vertical="center"/>
    </xf>
    <xf numFmtId="3" fontId="50" fillId="0" borderId="6" xfId="0" applyNumberFormat="1"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3" fontId="50" fillId="0" borderId="68" xfId="0" applyNumberFormat="1" applyFont="1" applyBorder="1" applyAlignment="1">
      <alignment horizontal="center" vertical="center"/>
    </xf>
    <xf numFmtId="3" fontId="50" fillId="0" borderId="52" xfId="0" applyNumberFormat="1" applyFont="1" applyBorder="1" applyAlignment="1">
      <alignment horizontal="center" vertical="center"/>
    </xf>
    <xf numFmtId="0" fontId="50" fillId="0" borderId="0" xfId="0" quotePrefix="1" applyFont="1" applyAlignment="1">
      <alignment horizontal="center" vertical="center"/>
    </xf>
    <xf numFmtId="3" fontId="50" fillId="0" borderId="18" xfId="0" applyNumberFormat="1" applyFont="1" applyBorder="1" applyAlignment="1">
      <alignment horizontal="center" vertical="center"/>
    </xf>
    <xf numFmtId="3" fontId="50" fillId="0" borderId="16" xfId="0" applyNumberFormat="1" applyFont="1" applyBorder="1" applyAlignment="1">
      <alignment horizontal="center" vertical="center"/>
    </xf>
    <xf numFmtId="3" fontId="50" fillId="0" borderId="17" xfId="0" applyNumberFormat="1" applyFont="1" applyBorder="1" applyAlignment="1">
      <alignment horizontal="center" vertical="center"/>
    </xf>
    <xf numFmtId="3" fontId="50" fillId="0" borderId="15" xfId="0" applyNumberFormat="1" applyFont="1" applyBorder="1" applyAlignment="1">
      <alignment horizontal="center" vertical="center"/>
    </xf>
    <xf numFmtId="3" fontId="50" fillId="0" borderId="72" xfId="0" applyNumberFormat="1" applyFont="1" applyBorder="1" applyAlignment="1">
      <alignment horizontal="center" vertical="center"/>
    </xf>
    <xf numFmtId="0" fontId="49" fillId="0" borderId="0" xfId="0" applyFont="1" applyAlignment="1">
      <alignment horizontal="center" vertical="center"/>
    </xf>
    <xf numFmtId="3" fontId="42" fillId="0" borderId="0" xfId="0" applyNumberFormat="1" applyFont="1" applyAlignment="1">
      <alignment horizontal="center" vertical="center"/>
    </xf>
    <xf numFmtId="0" fontId="48" fillId="0" borderId="0" xfId="0" applyFont="1" applyAlignment="1">
      <alignment horizontal="center" vertical="center"/>
    </xf>
    <xf numFmtId="3" fontId="50" fillId="0" borderId="7" xfId="0" applyNumberFormat="1" applyFont="1" applyBorder="1" applyAlignment="1">
      <alignment horizontal="center" vertical="center"/>
    </xf>
    <xf numFmtId="3" fontId="50" fillId="0" borderId="8" xfId="0" applyNumberFormat="1" applyFont="1" applyBorder="1" applyAlignment="1">
      <alignment horizontal="center" vertical="center"/>
    </xf>
    <xf numFmtId="3" fontId="50" fillId="0" borderId="10" xfId="0" applyNumberFormat="1" applyFont="1" applyBorder="1" applyAlignment="1">
      <alignment horizontal="center" vertical="center"/>
    </xf>
    <xf numFmtId="3" fontId="50" fillId="0" borderId="76" xfId="0" applyNumberFormat="1" applyFont="1" applyBorder="1" applyAlignment="1">
      <alignment horizontal="center" vertical="center"/>
    </xf>
    <xf numFmtId="0" fontId="42" fillId="11" borderId="73" xfId="0" applyFont="1" applyFill="1" applyBorder="1" applyAlignment="1" applyProtection="1">
      <alignment vertical="top" wrapText="1"/>
      <protection locked="0"/>
    </xf>
    <xf numFmtId="0" fontId="42" fillId="11" borderId="0" xfId="0" applyFont="1" applyFill="1" applyAlignment="1" applyProtection="1">
      <alignment vertical="top" wrapText="1"/>
      <protection locked="0"/>
    </xf>
    <xf numFmtId="0" fontId="42" fillId="11" borderId="37" xfId="0" applyFont="1" applyFill="1" applyBorder="1" applyAlignment="1" applyProtection="1">
      <alignment vertical="top" wrapText="1"/>
      <protection locked="0"/>
    </xf>
    <xf numFmtId="0" fontId="57" fillId="11" borderId="39" xfId="0" applyFont="1" applyFill="1" applyBorder="1" applyAlignment="1" applyProtection="1">
      <alignment vertical="top" wrapText="1"/>
      <protection locked="0"/>
    </xf>
    <xf numFmtId="0" fontId="50" fillId="0" borderId="0" xfId="0" applyFont="1" applyAlignment="1">
      <alignment horizontal="left" vertical="top" wrapText="1"/>
    </xf>
    <xf numFmtId="0" fontId="49" fillId="3" borderId="0" xfId="0" applyFont="1" applyFill="1" applyAlignment="1">
      <alignment horizontal="left" vertical="top" wrapText="1"/>
    </xf>
    <xf numFmtId="0" fontId="65" fillId="20" borderId="8" xfId="0" applyFont="1" applyFill="1" applyBorder="1" applyAlignment="1">
      <alignment horizontal="left" vertical="top" wrapText="1"/>
    </xf>
    <xf numFmtId="0" fontId="66" fillId="20" borderId="8" xfId="0" applyFont="1" applyFill="1" applyBorder="1" applyAlignment="1">
      <alignment horizontal="left" vertical="top" wrapText="1"/>
    </xf>
    <xf numFmtId="0" fontId="42" fillId="21" borderId="5" xfId="0" applyFont="1" applyFill="1" applyBorder="1" applyAlignment="1" applyProtection="1">
      <alignment horizontal="left" vertical="top" wrapText="1"/>
      <protection locked="0"/>
    </xf>
    <xf numFmtId="0" fontId="42" fillId="21" borderId="1" xfId="0" applyFont="1" applyFill="1" applyBorder="1" applyAlignment="1" applyProtection="1">
      <alignment horizontal="left" vertical="top" wrapText="1"/>
      <protection locked="0"/>
    </xf>
    <xf numFmtId="0" fontId="42" fillId="21" borderId="45" xfId="0" applyFont="1" applyFill="1" applyBorder="1" applyAlignment="1" applyProtection="1">
      <alignment horizontal="left" vertical="top" wrapText="1"/>
      <protection locked="0"/>
    </xf>
    <xf numFmtId="0" fontId="42" fillId="21" borderId="16" xfId="0" applyFont="1" applyFill="1" applyBorder="1" applyAlignment="1" applyProtection="1">
      <alignment horizontal="left" vertical="top" wrapText="1"/>
      <protection locked="0"/>
    </xf>
    <xf numFmtId="0" fontId="42" fillId="21" borderId="21" xfId="0" applyFont="1" applyFill="1" applyBorder="1" applyAlignment="1" applyProtection="1">
      <alignment horizontal="left" vertical="top" wrapText="1"/>
      <protection locked="0"/>
    </xf>
    <xf numFmtId="3" fontId="42" fillId="22" borderId="3" xfId="0" applyNumberFormat="1" applyFont="1" applyFill="1" applyBorder="1" applyAlignment="1" applyProtection="1">
      <alignment horizontal="center" vertical="center"/>
      <protection locked="0"/>
    </xf>
    <xf numFmtId="3" fontId="42" fillId="22" borderId="2" xfId="0" applyNumberFormat="1" applyFont="1" applyFill="1" applyBorder="1" applyAlignment="1" applyProtection="1">
      <alignment horizontal="center" vertical="center"/>
      <protection locked="0"/>
    </xf>
    <xf numFmtId="3" fontId="18" fillId="22" borderId="2" xfId="0" applyNumberFormat="1" applyFont="1" applyFill="1" applyBorder="1" applyAlignment="1" applyProtection="1">
      <alignment horizontal="center" vertical="center"/>
      <protection locked="0"/>
    </xf>
    <xf numFmtId="3" fontId="42" fillId="23" borderId="2" xfId="0" applyNumberFormat="1" applyFont="1" applyFill="1" applyBorder="1" applyAlignment="1" applyProtection="1">
      <alignment horizontal="center" vertical="center"/>
      <protection locked="0"/>
    </xf>
    <xf numFmtId="3" fontId="18" fillId="24" borderId="132" xfId="0" applyNumberFormat="1" applyFont="1" applyFill="1" applyBorder="1" applyAlignment="1">
      <alignment horizontal="center" vertical="center"/>
    </xf>
    <xf numFmtId="3" fontId="42" fillId="24" borderId="2" xfId="0" applyNumberFormat="1" applyFont="1" applyFill="1" applyBorder="1" applyAlignment="1" applyProtection="1">
      <alignment horizontal="center" vertical="center"/>
      <protection locked="0"/>
    </xf>
    <xf numFmtId="3" fontId="18" fillId="24" borderId="3" xfId="0" applyNumberFormat="1" applyFont="1" applyFill="1" applyBorder="1" applyAlignment="1">
      <alignment horizontal="center" vertical="center"/>
    </xf>
    <xf numFmtId="3" fontId="42" fillId="24" borderId="3" xfId="0" applyNumberFormat="1" applyFont="1" applyFill="1" applyBorder="1" applyAlignment="1" applyProtection="1">
      <alignment horizontal="center" vertical="center"/>
      <protection locked="0"/>
    </xf>
    <xf numFmtId="3" fontId="18" fillId="24" borderId="3" xfId="0" applyNumberFormat="1" applyFont="1" applyFill="1" applyBorder="1" applyAlignment="1" applyProtection="1">
      <alignment horizontal="center" vertical="center"/>
      <protection locked="0"/>
    </xf>
    <xf numFmtId="3" fontId="57" fillId="24" borderId="3" xfId="0" applyNumberFormat="1" applyFont="1" applyFill="1" applyBorder="1" applyAlignment="1" applyProtection="1">
      <alignment horizontal="center" vertical="center"/>
      <protection locked="0"/>
    </xf>
    <xf numFmtId="3" fontId="57" fillId="11" borderId="103" xfId="0" applyNumberFormat="1" applyFont="1" applyFill="1" applyBorder="1" applyAlignment="1" applyProtection="1">
      <alignment horizontal="center" vertical="center"/>
      <protection locked="0"/>
    </xf>
    <xf numFmtId="3" fontId="42" fillId="11" borderId="104" xfId="0" applyNumberFormat="1" applyFont="1" applyFill="1" applyBorder="1" applyAlignment="1" applyProtection="1">
      <alignment horizontal="center" vertical="center"/>
      <protection locked="0"/>
    </xf>
    <xf numFmtId="3" fontId="42" fillId="11" borderId="105" xfId="0" applyNumberFormat="1" applyFont="1" applyFill="1" applyBorder="1" applyAlignment="1" applyProtection="1">
      <alignment horizontal="center" vertical="center"/>
      <protection locked="0"/>
    </xf>
    <xf numFmtId="3" fontId="18" fillId="11" borderId="110" xfId="0" applyNumberFormat="1" applyFont="1" applyFill="1" applyBorder="1" applyAlignment="1">
      <alignment horizontal="center" vertical="center"/>
    </xf>
    <xf numFmtId="3" fontId="18" fillId="11" borderId="114" xfId="0" applyNumberFormat="1" applyFont="1" applyFill="1" applyBorder="1" applyAlignment="1">
      <alignment horizontal="center" vertical="center"/>
    </xf>
    <xf numFmtId="3" fontId="42" fillId="11" borderId="110" xfId="0" applyNumberFormat="1" applyFont="1" applyFill="1" applyBorder="1" applyAlignment="1" applyProtection="1">
      <alignment horizontal="center" vertical="center"/>
      <protection locked="0"/>
    </xf>
    <xf numFmtId="3" fontId="57" fillId="11" borderId="114" xfId="0" applyNumberFormat="1" applyFont="1" applyFill="1" applyBorder="1" applyAlignment="1" applyProtection="1">
      <alignment horizontal="center" vertical="center"/>
      <protection locked="0"/>
    </xf>
    <xf numFmtId="3" fontId="42" fillId="11" borderId="114" xfId="0" applyNumberFormat="1" applyFont="1" applyFill="1" applyBorder="1" applyAlignment="1" applyProtection="1">
      <alignment horizontal="center" vertical="center"/>
      <protection locked="0"/>
    </xf>
    <xf numFmtId="3" fontId="57" fillId="11" borderId="110" xfId="0" applyNumberFormat="1" applyFont="1" applyFill="1" applyBorder="1" applyAlignment="1" applyProtection="1">
      <alignment horizontal="center" vertical="center"/>
      <protection locked="0"/>
    </xf>
    <xf numFmtId="3" fontId="18" fillId="11" borderId="114" xfId="0" applyNumberFormat="1" applyFont="1" applyFill="1" applyBorder="1" applyAlignment="1" applyProtection="1">
      <alignment horizontal="center" vertical="center"/>
      <protection locked="0"/>
    </xf>
    <xf numFmtId="3" fontId="42" fillId="11" borderId="110" xfId="0" applyNumberFormat="1" applyFont="1" applyFill="1" applyBorder="1" applyAlignment="1" applyProtection="1">
      <alignment vertical="top"/>
      <protection locked="0"/>
    </xf>
    <xf numFmtId="3" fontId="42" fillId="11" borderId="114" xfId="0" applyNumberFormat="1" applyFont="1" applyFill="1" applyBorder="1" applyAlignment="1" applyProtection="1">
      <alignment vertical="top"/>
      <protection locked="0"/>
    </xf>
    <xf numFmtId="3" fontId="42" fillId="23" borderId="110" xfId="0" applyNumberFormat="1" applyFont="1" applyFill="1" applyBorder="1" applyAlignment="1" applyProtection="1">
      <alignment horizontal="center" vertical="center"/>
      <protection locked="0"/>
    </xf>
    <xf numFmtId="3" fontId="42" fillId="11" borderId="106" xfId="0" applyNumberFormat="1" applyFont="1" applyFill="1" applyBorder="1" applyAlignment="1" applyProtection="1">
      <alignment horizontal="center" vertical="center"/>
      <protection locked="0"/>
    </xf>
    <xf numFmtId="3" fontId="42" fillId="11" borderId="107" xfId="0" applyNumberFormat="1" applyFont="1" applyFill="1" applyBorder="1" applyAlignment="1" applyProtection="1">
      <alignment horizontal="right" vertical="top"/>
      <protection locked="0"/>
    </xf>
    <xf numFmtId="3" fontId="42" fillId="11" borderId="108" xfId="0" applyNumberFormat="1" applyFont="1" applyFill="1" applyBorder="1" applyAlignment="1" applyProtection="1">
      <alignment horizontal="right" vertical="top"/>
      <protection locked="0"/>
    </xf>
    <xf numFmtId="3" fontId="0" fillId="0" borderId="0" xfId="0" applyNumberFormat="1" applyAlignment="1">
      <alignment vertical="top"/>
    </xf>
    <xf numFmtId="0" fontId="23" fillId="7" borderId="20" xfId="0" applyFont="1" applyFill="1" applyBorder="1" applyAlignment="1">
      <alignment vertical="top"/>
    </xf>
    <xf numFmtId="0" fontId="23" fillId="7" borderId="19" xfId="0" applyFont="1" applyFill="1" applyBorder="1" applyAlignment="1">
      <alignment vertical="top"/>
    </xf>
    <xf numFmtId="0" fontId="0" fillId="3" borderId="20" xfId="0" applyFill="1" applyBorder="1" applyAlignment="1">
      <alignment vertical="top"/>
    </xf>
    <xf numFmtId="0" fontId="26" fillId="7" borderId="0" xfId="0" applyFont="1" applyFill="1" applyAlignment="1">
      <alignment vertical="top"/>
    </xf>
    <xf numFmtId="0" fontId="0" fillId="0" borderId="54" xfId="0" applyBorder="1" applyAlignment="1">
      <alignment vertical="top"/>
    </xf>
    <xf numFmtId="3" fontId="24" fillId="7" borderId="0" xfId="0" applyNumberFormat="1" applyFont="1" applyFill="1" applyAlignment="1">
      <alignment vertical="top"/>
    </xf>
    <xf numFmtId="0" fontId="24" fillId="7" borderId="0" xfId="0" applyFont="1" applyFill="1" applyAlignment="1">
      <alignment vertical="top"/>
    </xf>
    <xf numFmtId="3" fontId="24" fillId="7" borderId="11" xfId="0" applyNumberFormat="1" applyFont="1" applyFill="1" applyBorder="1" applyAlignment="1">
      <alignment vertical="top"/>
    </xf>
    <xf numFmtId="3" fontId="24" fillId="7" borderId="20" xfId="0" applyNumberFormat="1" applyFont="1" applyFill="1" applyBorder="1" applyAlignment="1">
      <alignment vertical="top"/>
    </xf>
    <xf numFmtId="0" fontId="24" fillId="7" borderId="20" xfId="0" applyFont="1" applyFill="1" applyBorder="1" applyAlignment="1">
      <alignment vertical="top"/>
    </xf>
    <xf numFmtId="3" fontId="24" fillId="7" borderId="3" xfId="0" applyNumberFormat="1" applyFont="1" applyFill="1" applyBorder="1" applyAlignment="1">
      <alignment vertical="top"/>
    </xf>
    <xf numFmtId="0" fontId="0" fillId="3" borderId="45" xfId="0" applyFill="1" applyBorder="1" applyAlignment="1">
      <alignment vertical="top"/>
    </xf>
    <xf numFmtId="0" fontId="0" fillId="3" borderId="92" xfId="0" applyFill="1" applyBorder="1" applyAlignment="1">
      <alignment vertical="top" wrapText="1"/>
    </xf>
    <xf numFmtId="0" fontId="40" fillId="3" borderId="27" xfId="0" applyFont="1" applyFill="1" applyBorder="1" applyAlignment="1">
      <alignment vertical="top" wrapText="1"/>
    </xf>
    <xf numFmtId="0" fontId="40" fillId="3" borderId="0" xfId="0" applyFont="1" applyFill="1" applyAlignment="1">
      <alignment vertical="top"/>
    </xf>
    <xf numFmtId="0" fontId="23" fillId="7" borderId="55" xfId="0" applyFont="1" applyFill="1" applyBorder="1" applyAlignment="1">
      <alignment vertical="top"/>
    </xf>
    <xf numFmtId="0" fontId="0" fillId="3" borderId="76" xfId="0" applyFill="1" applyBorder="1" applyAlignment="1">
      <alignment vertical="top"/>
    </xf>
    <xf numFmtId="3" fontId="28" fillId="7" borderId="71" xfId="0" applyNumberFormat="1" applyFont="1" applyFill="1" applyBorder="1" applyAlignment="1">
      <alignment vertical="top"/>
    </xf>
    <xf numFmtId="0" fontId="0" fillId="3" borderId="92" xfId="0" applyFill="1" applyBorder="1" applyAlignment="1">
      <alignment vertical="top"/>
    </xf>
    <xf numFmtId="0" fontId="0" fillId="3" borderId="55" xfId="0" applyFill="1" applyBorder="1" applyAlignment="1">
      <alignment vertical="top"/>
    </xf>
    <xf numFmtId="0" fontId="23" fillId="7" borderId="0" xfId="0" applyFont="1" applyFill="1" applyAlignment="1">
      <alignment vertical="top"/>
    </xf>
    <xf numFmtId="3" fontId="23" fillId="7" borderId="0" xfId="0" applyNumberFormat="1" applyFont="1" applyFill="1" applyAlignment="1">
      <alignment vertical="top"/>
    </xf>
    <xf numFmtId="0" fontId="4" fillId="0" borderId="92" xfId="0" applyFont="1" applyFill="1" applyBorder="1" applyAlignment="1">
      <alignment vertical="top"/>
    </xf>
    <xf numFmtId="0" fontId="50" fillId="4" borderId="28" xfId="0" applyFont="1" applyFill="1" applyBorder="1" applyAlignment="1">
      <alignment horizontal="center" vertical="center"/>
    </xf>
    <xf numFmtId="0" fontId="50" fillId="4" borderId="27" xfId="0" applyFont="1" applyFill="1" applyBorder="1" applyAlignment="1">
      <alignment horizontal="center" vertical="center"/>
    </xf>
    <xf numFmtId="0" fontId="50" fillId="0" borderId="27" xfId="0" applyFont="1" applyBorder="1" applyAlignment="1">
      <alignment horizontal="center" vertical="center"/>
    </xf>
    <xf numFmtId="0" fontId="50" fillId="0" borderId="29" xfId="0" applyFont="1" applyBorder="1" applyAlignment="1">
      <alignment horizontal="center" vertical="center"/>
    </xf>
    <xf numFmtId="0" fontId="42" fillId="2" borderId="68" xfId="0" applyFont="1" applyFill="1" applyBorder="1" applyAlignment="1">
      <alignment vertical="top" wrapText="1"/>
    </xf>
    <xf numFmtId="0" fontId="42" fillId="2" borderId="69" xfId="0" applyFont="1" applyFill="1" applyBorder="1" applyAlignment="1">
      <alignment vertical="top" wrapText="1"/>
    </xf>
    <xf numFmtId="0" fontId="42" fillId="2" borderId="5" xfId="0" applyFont="1" applyFill="1" applyBorder="1" applyAlignment="1">
      <alignment vertical="top" wrapText="1"/>
    </xf>
    <xf numFmtId="0" fontId="50" fillId="2" borderId="5" xfId="0" applyFont="1" applyFill="1" applyBorder="1" applyAlignment="1">
      <alignment vertical="top" wrapText="1"/>
    </xf>
    <xf numFmtId="0" fontId="50" fillId="2" borderId="68" xfId="0" applyFont="1" applyFill="1" applyBorder="1" applyAlignment="1">
      <alignment vertical="top" wrapText="1"/>
    </xf>
    <xf numFmtId="0" fontId="50" fillId="2" borderId="2" xfId="0" applyFont="1" applyFill="1" applyBorder="1" applyAlignment="1">
      <alignment vertical="top" wrapText="1"/>
    </xf>
    <xf numFmtId="0" fontId="53" fillId="0" borderId="70" xfId="0" applyFont="1" applyBorder="1" applyAlignment="1">
      <alignment horizontal="left" vertical="top" wrapText="1"/>
    </xf>
    <xf numFmtId="0" fontId="53" fillId="0" borderId="27" xfId="0" applyFont="1" applyBorder="1" applyAlignment="1">
      <alignment horizontal="left" vertical="top" wrapText="1"/>
    </xf>
    <xf numFmtId="0" fontId="50" fillId="0" borderId="27" xfId="0" applyFont="1" applyBorder="1" applyAlignment="1">
      <alignment vertical="top"/>
    </xf>
    <xf numFmtId="0" fontId="50" fillId="0" borderId="27" xfId="0" applyFont="1" applyBorder="1" applyAlignment="1">
      <alignment horizontal="center" vertical="top"/>
    </xf>
    <xf numFmtId="1" fontId="49" fillId="4" borderId="91" xfId="0" applyNumberFormat="1" applyFont="1" applyFill="1" applyBorder="1" applyAlignment="1">
      <alignment horizontal="center" vertical="center" wrapText="1"/>
    </xf>
    <xf numFmtId="0" fontId="49" fillId="0" borderId="92" xfId="0" applyFont="1" applyBorder="1" applyAlignment="1">
      <alignment horizontal="center" vertical="center" wrapText="1"/>
    </xf>
    <xf numFmtId="0" fontId="49" fillId="0" borderId="90" xfId="0" applyFont="1" applyBorder="1" applyAlignment="1">
      <alignment horizontal="center" vertical="center" wrapText="1"/>
    </xf>
    <xf numFmtId="1" fontId="49" fillId="4" borderId="24" xfId="0" applyNumberFormat="1" applyFont="1" applyFill="1" applyBorder="1" applyAlignment="1">
      <alignment horizontal="center" vertical="center" wrapText="1"/>
    </xf>
    <xf numFmtId="0" fontId="49" fillId="0" borderId="24" xfId="0" applyFont="1" applyBorder="1" applyAlignment="1">
      <alignment horizontal="center" vertical="center" wrapText="1"/>
    </xf>
    <xf numFmtId="0" fontId="49" fillId="0" borderId="25" xfId="0" applyFont="1" applyBorder="1" applyAlignment="1">
      <alignment horizontal="center" vertical="center" wrapText="1"/>
    </xf>
    <xf numFmtId="1" fontId="49" fillId="4" borderId="23" xfId="0" applyNumberFormat="1" applyFont="1" applyFill="1" applyBorder="1" applyAlignment="1">
      <alignment horizontal="center" vertical="center" wrapText="1"/>
    </xf>
    <xf numFmtId="0" fontId="50" fillId="8" borderId="11" xfId="0" applyFont="1" applyFill="1" applyBorder="1" applyAlignment="1">
      <alignment horizontal="left" vertical="top" wrapText="1"/>
    </xf>
    <xf numFmtId="0" fontId="50" fillId="0" borderId="20" xfId="0" applyFont="1" applyBorder="1" applyAlignment="1">
      <alignment horizontal="left" vertical="top" wrapText="1"/>
    </xf>
    <xf numFmtId="0" fontId="50" fillId="0" borderId="19" xfId="0" applyFont="1" applyBorder="1" applyAlignment="1">
      <alignment horizontal="left" vertical="top" wrapText="1"/>
    </xf>
    <xf numFmtId="164" fontId="56" fillId="4" borderId="42" xfId="0" applyNumberFormat="1" applyFont="1" applyFill="1" applyBorder="1" applyAlignment="1">
      <alignment horizontal="center" vertical="top" wrapText="1"/>
    </xf>
    <xf numFmtId="0" fontId="50" fillId="0" borderId="0" xfId="0" applyFont="1" applyAlignment="1">
      <alignment horizontal="center" vertical="top" wrapText="1"/>
    </xf>
    <xf numFmtId="0" fontId="50" fillId="0" borderId="54" xfId="0" applyFont="1" applyBorder="1" applyAlignment="1">
      <alignment horizontal="center" vertical="top" wrapText="1"/>
    </xf>
    <xf numFmtId="0" fontId="53" fillId="0" borderId="71" xfId="0" applyFont="1" applyBorder="1" applyAlignment="1">
      <alignment horizontal="left" vertical="top" wrapText="1"/>
    </xf>
    <xf numFmtId="0" fontId="53" fillId="0" borderId="56" xfId="0" applyFont="1" applyBorder="1" applyAlignment="1">
      <alignment horizontal="left" vertical="top" wrapText="1"/>
    </xf>
    <xf numFmtId="0" fontId="50" fillId="0" borderId="56" xfId="0" applyFont="1" applyBorder="1" applyAlignment="1">
      <alignment vertical="top"/>
    </xf>
    <xf numFmtId="0" fontId="50" fillId="0" borderId="56" xfId="0" applyFont="1" applyBorder="1" applyAlignment="1">
      <alignment horizontal="center" vertical="top"/>
    </xf>
    <xf numFmtId="0" fontId="50" fillId="0" borderId="57" xfId="0" applyFont="1" applyBorder="1" applyAlignment="1">
      <alignment horizontal="center" vertical="center"/>
    </xf>
    <xf numFmtId="0" fontId="6" fillId="4" borderId="118" xfId="0" applyFont="1" applyFill="1" applyBorder="1" applyAlignment="1">
      <alignment horizontal="center" vertical="top" wrapText="1"/>
    </xf>
    <xf numFmtId="0" fontId="6" fillId="4" borderId="129" xfId="0" applyFont="1" applyFill="1" applyBorder="1" applyAlignment="1">
      <alignment horizontal="center" vertical="top" wrapText="1"/>
    </xf>
    <xf numFmtId="0" fontId="27" fillId="14" borderId="123" xfId="0" applyFont="1" applyFill="1" applyBorder="1" applyAlignment="1">
      <alignment horizontal="center" vertical="top" wrapText="1"/>
    </xf>
    <xf numFmtId="0" fontId="27" fillId="14" borderId="130" xfId="0" applyFont="1" applyFill="1" applyBorder="1" applyAlignment="1">
      <alignment horizontal="center" vertical="top" wrapText="1"/>
    </xf>
    <xf numFmtId="0" fontId="64" fillId="4" borderId="118" xfId="0" applyFont="1" applyFill="1" applyBorder="1" applyAlignment="1">
      <alignment horizontal="center" vertical="top" wrapText="1"/>
    </xf>
    <xf numFmtId="0" fontId="64" fillId="4" borderId="129" xfId="0" applyFont="1" applyFill="1" applyBorder="1" applyAlignment="1">
      <alignment horizontal="center" vertical="top" wrapText="1"/>
    </xf>
    <xf numFmtId="0" fontId="46" fillId="4" borderId="118" xfId="0" applyFont="1" applyFill="1" applyBorder="1" applyAlignment="1">
      <alignment horizontal="center" vertical="top" wrapText="1"/>
    </xf>
    <xf numFmtId="0" fontId="46" fillId="4" borderId="129" xfId="0" applyFont="1" applyFill="1" applyBorder="1" applyAlignment="1">
      <alignment horizontal="center" vertical="top" wrapText="1"/>
    </xf>
    <xf numFmtId="0" fontId="45" fillId="4" borderId="120" xfId="0" applyFont="1" applyFill="1" applyBorder="1" applyAlignment="1">
      <alignment horizontal="center" vertical="top" wrapText="1"/>
    </xf>
    <xf numFmtId="0" fontId="0" fillId="4" borderId="120" xfId="0" applyFill="1" applyBorder="1" applyAlignment="1">
      <alignment horizontal="center" vertical="top" wrapText="1"/>
    </xf>
    <xf numFmtId="0" fontId="6" fillId="4" borderId="122" xfId="0" applyFont="1" applyFill="1" applyBorder="1" applyAlignment="1">
      <alignment horizontal="center" vertical="top" wrapText="1"/>
    </xf>
    <xf numFmtId="0" fontId="6" fillId="4" borderId="128" xfId="0" applyFont="1" applyFill="1" applyBorder="1" applyAlignment="1">
      <alignment horizontal="center" vertical="top" wrapText="1"/>
    </xf>
    <xf numFmtId="0" fontId="0" fillId="4" borderId="118" xfId="0" applyFill="1" applyBorder="1" applyAlignment="1">
      <alignment horizontal="center"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1" fontId="1" fillId="4" borderId="23" xfId="0" applyNumberFormat="1" applyFont="1" applyFill="1" applyBorder="1" applyAlignment="1">
      <alignment horizontal="center"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3" fillId="0" borderId="59" xfId="0" applyFont="1" applyBorder="1" applyAlignment="1">
      <alignment horizontal="left" vertical="top" wrapText="1"/>
    </xf>
    <xf numFmtId="0" fontId="3" fillId="0" borderId="71" xfId="0" applyFont="1" applyBorder="1" applyAlignment="1">
      <alignment horizontal="left" vertical="top" wrapText="1"/>
    </xf>
    <xf numFmtId="0" fontId="3" fillId="0" borderId="77" xfId="0" applyFont="1" applyBorder="1" applyAlignment="1">
      <alignment horizontal="left" vertical="top" wrapText="1"/>
    </xf>
    <xf numFmtId="0" fontId="2" fillId="2" borderId="1" xfId="0" applyFont="1" applyFill="1" applyBorder="1" applyAlignment="1">
      <alignment vertical="top" wrapText="1"/>
    </xf>
    <xf numFmtId="0" fontId="2" fillId="2" borderId="117" xfId="0" applyFont="1" applyFill="1" applyBorder="1" applyAlignment="1">
      <alignment vertical="top" wrapText="1"/>
    </xf>
    <xf numFmtId="0" fontId="3" fillId="0" borderId="28" xfId="0" applyFont="1" applyBorder="1" applyAlignment="1">
      <alignment horizontal="left" vertical="top" wrapText="1"/>
    </xf>
    <xf numFmtId="0" fontId="3" fillId="0" borderId="70" xfId="0" applyFont="1" applyBorder="1" applyAlignment="1">
      <alignment horizontal="left" vertical="top" wrapText="1"/>
    </xf>
    <xf numFmtId="0" fontId="3" fillId="0" borderId="90" xfId="0" applyFont="1" applyBorder="1" applyAlignment="1">
      <alignment horizontal="left" vertical="top" wrapText="1"/>
    </xf>
    <xf numFmtId="0" fontId="2" fillId="2" borderId="104" xfId="0" applyFont="1" applyFill="1" applyBorder="1" applyAlignment="1">
      <alignment vertical="top" wrapText="1"/>
    </xf>
    <xf numFmtId="0" fontId="3" fillId="0" borderId="27" xfId="0" applyFont="1" applyBorder="1" applyAlignment="1">
      <alignment horizontal="left" vertical="top" wrapText="1"/>
    </xf>
    <xf numFmtId="0" fontId="0" fillId="8" borderId="3" xfId="0" applyFill="1" applyBorder="1" applyAlignment="1">
      <alignment horizontal="lef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56" xfId="0" applyFont="1" applyBorder="1" applyAlignment="1">
      <alignment horizontal="left"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2" fillId="2" borderId="105" xfId="0" applyFont="1" applyFill="1" applyBorder="1" applyAlignment="1">
      <alignment vertical="top" wrapText="1"/>
    </xf>
    <xf numFmtId="0" fontId="2" fillId="2" borderId="68"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0" fontId="0" fillId="2" borderId="104" xfId="0" applyFill="1" applyBorder="1" applyAlignment="1">
      <alignment vertical="top" wrapText="1"/>
    </xf>
    <xf numFmtId="0" fontId="0" fillId="2" borderId="105" xfId="0" applyFill="1" applyBorder="1" applyAlignment="1">
      <alignment vertical="top" wrapText="1"/>
    </xf>
    <xf numFmtId="0" fontId="0" fillId="0" borderId="0" xfId="0" applyAlignment="1">
      <alignment horizontal="left"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24" fillId="6" borderId="85" xfId="0" applyFont="1" applyFill="1" applyBorder="1" applyAlignment="1">
      <alignment horizontal="center" vertical="top" wrapText="1"/>
    </xf>
    <xf numFmtId="0" fontId="24" fillId="6" borderId="66" xfId="0" applyFont="1" applyFill="1" applyBorder="1" applyAlignment="1">
      <alignment horizontal="center" vertical="top" wrapText="1"/>
    </xf>
    <xf numFmtId="0" fontId="27" fillId="6" borderId="62" xfId="0" applyFont="1" applyFill="1" applyBorder="1" applyAlignment="1">
      <alignment horizontal="center" vertical="top" wrapText="1"/>
    </xf>
    <xf numFmtId="0" fontId="27" fillId="6" borderId="63" xfId="0" applyFont="1" applyFill="1" applyBorder="1" applyAlignment="1">
      <alignment horizontal="center" vertical="top" wrapText="1"/>
    </xf>
    <xf numFmtId="0" fontId="24" fillId="6" borderId="29" xfId="0" applyFont="1" applyFill="1" applyBorder="1" applyAlignment="1">
      <alignment horizontal="center" vertical="top" wrapText="1"/>
    </xf>
    <xf numFmtId="0" fontId="27" fillId="6" borderId="54" xfId="0" applyFont="1" applyFill="1" applyBorder="1" applyAlignment="1">
      <alignment horizontal="center" vertical="top" wrapText="1"/>
    </xf>
    <xf numFmtId="0" fontId="26" fillId="6" borderId="83" xfId="0" applyFont="1" applyFill="1" applyBorder="1" applyAlignment="1">
      <alignment horizontal="center" vertical="top" wrapText="1"/>
    </xf>
    <xf numFmtId="0" fontId="26" fillId="6" borderId="86" xfId="0" applyFont="1" applyFill="1" applyBorder="1" applyAlignment="1">
      <alignment horizontal="center" vertical="top" wrapText="1"/>
    </xf>
    <xf numFmtId="0" fontId="26" fillId="6" borderId="84" xfId="0" applyFont="1" applyFill="1" applyBorder="1" applyAlignment="1">
      <alignment horizontal="center" vertical="top"/>
    </xf>
    <xf numFmtId="0" fontId="26" fillId="6" borderId="60" xfId="0" applyFont="1" applyFill="1" applyBorder="1" applyAlignment="1">
      <alignment horizontal="center" vertical="top"/>
    </xf>
    <xf numFmtId="0" fontId="24"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6" xfId="0" applyBorder="1" applyAlignment="1">
      <alignment horizontal="center" vertical="top" wrapText="1"/>
    </xf>
    <xf numFmtId="0" fontId="0" fillId="0" borderId="0" xfId="0" applyAlignment="1">
      <alignment horizontal="center" vertical="top" wrapText="1"/>
    </xf>
    <xf numFmtId="0" fontId="0" fillId="0" borderId="63" xfId="0" applyBorder="1" applyAlignment="1">
      <alignment horizontal="center" vertical="top" wrapText="1"/>
    </xf>
    <xf numFmtId="0" fontId="0" fillId="3" borderId="28" xfId="0" applyFill="1" applyBorder="1" applyAlignment="1">
      <alignment horizontal="left" vertical="top" wrapText="1"/>
    </xf>
    <xf numFmtId="0" fontId="0" fillId="3" borderId="42" xfId="0" applyFill="1" applyBorder="1" applyAlignment="1">
      <alignment horizontal="left" vertical="top" wrapText="1"/>
    </xf>
    <xf numFmtId="0" fontId="0" fillId="3" borderId="59" xfId="0" applyFill="1" applyBorder="1" applyAlignment="1">
      <alignment horizontal="left" vertical="top" wrapText="1"/>
    </xf>
    <xf numFmtId="0" fontId="0" fillId="3" borderId="92" xfId="0" applyFill="1" applyBorder="1" applyAlignment="1">
      <alignment horizontal="left" vertical="top" wrapText="1"/>
    </xf>
    <xf numFmtId="0" fontId="0" fillId="3" borderId="45" xfId="0" applyFill="1" applyBorder="1" applyAlignment="1">
      <alignment horizontal="left" vertical="top" wrapText="1"/>
    </xf>
    <xf numFmtId="0" fontId="0" fillId="3" borderId="76" xfId="0" applyFill="1" applyBorder="1" applyAlignment="1">
      <alignment horizontal="left" vertical="top" wrapText="1"/>
    </xf>
    <xf numFmtId="0" fontId="0" fillId="3" borderId="27" xfId="0" applyFill="1" applyBorder="1" applyAlignment="1">
      <alignment horizontal="left" vertical="top" wrapText="1"/>
    </xf>
    <xf numFmtId="0" fontId="0" fillId="3" borderId="0" xfId="0" applyFill="1" applyAlignment="1">
      <alignment horizontal="left" vertical="top" wrapText="1"/>
    </xf>
    <xf numFmtId="0" fontId="0" fillId="3" borderId="56" xfId="0" applyFill="1" applyBorder="1" applyAlignment="1">
      <alignment horizontal="left" vertical="top" wrapText="1"/>
    </xf>
    <xf numFmtId="0" fontId="37" fillId="9" borderId="3" xfId="0" applyFont="1" applyFill="1" applyBorder="1" applyAlignment="1">
      <alignment horizontal="center" vertical="top" wrapText="1"/>
    </xf>
    <xf numFmtId="0" fontId="37" fillId="9" borderId="3" xfId="0" applyFont="1" applyFill="1" applyBorder="1" applyAlignment="1">
      <alignment horizontal="left" vertical="top" wrapText="1"/>
    </xf>
    <xf numFmtId="3" fontId="38" fillId="0" borderId="44" xfId="0" applyNumberFormat="1" applyFont="1" applyBorder="1" applyAlignment="1">
      <alignment horizontal="left" vertical="top" wrapText="1"/>
    </xf>
    <xf numFmtId="3" fontId="38" fillId="0" borderId="43" xfId="0" applyNumberFormat="1" applyFont="1" applyBorder="1" applyAlignment="1">
      <alignment horizontal="left" vertical="top" wrapText="1"/>
    </xf>
    <xf numFmtId="0" fontId="0" fillId="0" borderId="43" xfId="0" applyBorder="1" applyAlignment="1">
      <alignment vertical="top"/>
    </xf>
    <xf numFmtId="0" fontId="0" fillId="0" borderId="3" xfId="0" applyBorder="1" applyAlignment="1">
      <alignment horizontal="center" vertical="top" wrapText="1"/>
    </xf>
    <xf numFmtId="0" fontId="60" fillId="0" borderId="0" xfId="0" applyFont="1"/>
  </cellXfs>
  <cellStyles count="3">
    <cellStyle name="Hea" xfId="1" builtinId="26"/>
    <cellStyle name="Normaallaad" xfId="0" builtinId="0"/>
    <cellStyle name="Normaallaad 2" xfId="2" xr:uid="{E45E3085-6CC6-48E4-9CF7-0425B6F40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t-EE">
                <a:solidFill>
                  <a:schemeClr val="tx1"/>
                </a:solidFill>
              </a:rPr>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358554365728619"/>
          <c:y val="0.1949054158518502"/>
          <c:w val="0.81591869835285802"/>
          <c:h val="0.5853416654332364"/>
        </c:manualLayout>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dLbl>
              <c:idx val="0"/>
              <c:layout>
                <c:manualLayout>
                  <c:x val="0"/>
                  <c:y val="-2.991641072169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42-4BF0-8B37-E897287AB4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36298395</c:v>
                </c:pt>
                <c:pt idx="1">
                  <c:v>3616940.6300000004</c:v>
                </c:pt>
                <c:pt idx="2">
                  <c:v>7631634.7400000002</c:v>
                </c:pt>
              </c:numCache>
            </c:numRef>
          </c:val>
          <c:extLst>
            <c:ext xmlns:c16="http://schemas.microsoft.com/office/drawing/2014/chart" uri="{C3380CC4-5D6E-409C-BE32-E72D297353CC}">
              <c16:uniqueId val="{00000001-0042-4BF0-8B37-E897287AB42F}"/>
            </c:ext>
          </c:extLst>
        </c:ser>
        <c:ser>
          <c:idx val="1"/>
          <c:order val="1"/>
          <c:tx>
            <c:strRef>
              <c:f>'Ettekande arvutused'!$D$5</c:f>
              <c:strCache>
                <c:ptCount val="1"/>
                <c:pt idx="0">
                  <c:v>Täitmine​</c:v>
                </c:pt>
              </c:strCache>
            </c:strRef>
          </c:tx>
          <c:spPr>
            <a:solidFill>
              <a:schemeClr val="accent2"/>
            </a:solidFill>
            <a:ln>
              <a:noFill/>
            </a:ln>
            <a:effectLst/>
            <a:sp3d/>
          </c:spPr>
          <c:invertIfNegative val="0"/>
          <c:dLbls>
            <c:dLbl>
              <c:idx val="0"/>
              <c:layout>
                <c:manualLayout>
                  <c:x val="8.8714932334126057E-2"/>
                  <c:y val="-9.9721369072320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42-4BF0-8B37-E897287AB42F}"/>
                </c:ext>
              </c:extLst>
            </c:dLbl>
            <c:dLbl>
              <c:idx val="1"/>
              <c:layout>
                <c:manualLayout>
                  <c:x val="3.3268099625297289E-2"/>
                  <c:y val="-9.473530061870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42-4BF0-8B37-E897287AB42F}"/>
                </c:ext>
              </c:extLst>
            </c:dLbl>
            <c:dLbl>
              <c:idx val="2"/>
              <c:layout>
                <c:manualLayout>
                  <c:x val="9.4259615605008992E-2"/>
                  <c:y val="-9.141019900454109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42-4BF0-8B37-E897287AB4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22924884.470000003</c:v>
                </c:pt>
                <c:pt idx="1">
                  <c:v>3616940.48</c:v>
                </c:pt>
                <c:pt idx="2">
                  <c:v>6175361.7400000002</c:v>
                </c:pt>
              </c:numCache>
            </c:numRef>
          </c:val>
          <c:extLst>
            <c:ext xmlns:c16="http://schemas.microsoft.com/office/drawing/2014/chart" uri="{C3380CC4-5D6E-409C-BE32-E72D297353CC}">
              <c16:uniqueId val="{00000005-0042-4BF0-8B37-E897287AB42F}"/>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arvutused'!$B$21:$B$23</c:f>
              <c:strCache>
                <c:ptCount val="3"/>
                <c:pt idx="0">
                  <c:v>Investeeringud​</c:v>
                </c:pt>
                <c:pt idx="1">
                  <c:v>Tööjõukulud</c:v>
                </c:pt>
                <c:pt idx="2">
                  <c:v>​Majandamiskulud​</c:v>
                </c:pt>
              </c:strCache>
            </c:strRef>
          </c:cat>
          <c:val>
            <c:numRef>
              <c:f>'Ettekande arvutused'!$C$21:$C$23</c:f>
              <c:numCache>
                <c:formatCode>#,##0</c:formatCode>
                <c:ptCount val="3"/>
                <c:pt idx="0">
                  <c:v>26913355</c:v>
                </c:pt>
                <c:pt idx="1">
                  <c:v>10330713.59</c:v>
                </c:pt>
                <c:pt idx="2">
                  <c:v>10302901.779999999</c:v>
                </c:pt>
              </c:numCache>
            </c:numRef>
          </c:val>
          <c:extLst>
            <c:ext xmlns:c16="http://schemas.microsoft.com/office/drawing/2014/chart" uri="{C3380CC4-5D6E-409C-BE32-E72D297353CC}">
              <c16:uniqueId val="{00000000-6B04-4B2B-9920-68FC8E1411B6}"/>
            </c:ext>
          </c:extLst>
        </c:ser>
        <c:ser>
          <c:idx val="1"/>
          <c:order val="1"/>
          <c:tx>
            <c:strRef>
              <c:f>'Ettekande arvutused'!$D$19</c:f>
              <c:strCache>
                <c:ptCount val="1"/>
                <c:pt idx="0">
                  <c:v>Täitmine​</c:v>
                </c:pt>
              </c:strCache>
            </c:strRef>
          </c:tx>
          <c:spPr>
            <a:solidFill>
              <a:schemeClr val="accent2"/>
            </a:solidFill>
            <a:ln>
              <a:noFill/>
            </a:ln>
            <a:effectLst/>
            <a:sp3d/>
          </c:spPr>
          <c:invertIfNegative val="0"/>
          <c:dLbls>
            <c:dLbl>
              <c:idx val="0"/>
              <c:layout>
                <c:manualLayout>
                  <c:x val="6.6536199250594535E-2"/>
                  <c:y val="-4.5006008318218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04-4B2B-9920-68FC8E1411B6}"/>
                </c:ext>
              </c:extLst>
            </c:dLbl>
            <c:dLbl>
              <c:idx val="1"/>
              <c:layout>
                <c:manualLayout>
                  <c:x val="1.9406391448090084E-2"/>
                  <c:y val="-7.3646195429812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04-4B2B-9920-68FC8E1411B6}"/>
                </c:ext>
              </c:extLst>
            </c:dLbl>
            <c:dLbl>
              <c:idx val="2"/>
              <c:layout>
                <c:manualLayout>
                  <c:x val="0.1219830319594233"/>
                  <c:y val="-1.6365821206624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04-4B2B-9920-68FC8E1411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arvutused'!$B$21:$B$23</c:f>
              <c:strCache>
                <c:ptCount val="3"/>
                <c:pt idx="0">
                  <c:v>Investeeringud​</c:v>
                </c:pt>
                <c:pt idx="1">
                  <c:v>Tööjõukulud</c:v>
                </c:pt>
                <c:pt idx="2">
                  <c:v>​Majandamiskulud​</c:v>
                </c:pt>
              </c:strCache>
            </c:strRef>
          </c:cat>
          <c:val>
            <c:numRef>
              <c:f>'Ettekande arvutused'!$D$21:$D$23</c:f>
              <c:numCache>
                <c:formatCode>#,##0</c:formatCode>
                <c:ptCount val="3"/>
                <c:pt idx="0">
                  <c:v>16848106.339999996</c:v>
                </c:pt>
                <c:pt idx="1">
                  <c:v>9143042.3599999975</c:v>
                </c:pt>
                <c:pt idx="2">
                  <c:v>6726037.9900000002</c:v>
                </c:pt>
              </c:numCache>
            </c:numRef>
          </c:val>
          <c:extLst>
            <c:ext xmlns:c16="http://schemas.microsoft.com/office/drawing/2014/chart" uri="{C3380CC4-5D6E-409C-BE32-E72D297353CC}">
              <c16:uniqueId val="{00000004-6B04-4B2B-9920-68FC8E1411B6}"/>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0702618741562903"/>
          <c:y val="0.17036677151996182"/>
          <c:w val="0.4958178100619971"/>
          <c:h val="0.63996628001914779"/>
        </c:manualLayout>
      </c:layout>
      <c:pieChart>
        <c:varyColors val="1"/>
        <c:ser>
          <c:idx val="0"/>
          <c:order val="0"/>
          <c:tx>
            <c:strRef>
              <c:f>'Ettekande arvutused'!$F$67:$H$67</c:f>
              <c:strCache>
                <c:ptCount val="1"/>
                <c:pt idx="0">
                  <c:v>RmIT IKT personal seisuga 01.01.2024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2C5-4FD2-B545-989C5FA214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2C5-4FD2-B545-989C5FA214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2C5-4FD2-B545-989C5FA2144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2C5-4FD2-B545-989C5FA2144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2C5-4FD2-B545-989C5FA2144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2C5-4FD2-B545-989C5FA2144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2C5-4FD2-B545-989C5FA2144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2C5-4FD2-B545-989C5FA2144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2C5-4FD2-B545-989C5FA2144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2C5-4FD2-B545-989C5FA2144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2C5-4FD2-B545-989C5FA2144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2C5-4FD2-B545-989C5FA2144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2C5-4FD2-B545-989C5FA2144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2C5-4FD2-B545-989C5FA2144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2C5-4FD2-B545-989C5FA2144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72C5-4FD2-B545-989C5FA2144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72C5-4FD2-B545-989C5FA2144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72C5-4FD2-B545-989C5FA2144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72C5-4FD2-B545-989C5FA2144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72C5-4FD2-B545-989C5FA2144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72C5-4FD2-B545-989C5FA2144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72C5-4FD2-B545-989C5FA21445}"/>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72C5-4FD2-B545-989C5FA21445}"/>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72C5-4FD2-B545-989C5FA21445}"/>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72C5-4FD2-B545-989C5FA21445}"/>
              </c:ext>
            </c:extLst>
          </c:dPt>
          <c:dLbls>
            <c:dLbl>
              <c:idx val="0"/>
              <c:layout>
                <c:manualLayout>
                  <c:x val="0.10908805371341677"/>
                  <c:y val="-1.508172768832635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2C5-4FD2-B545-989C5FA21445}"/>
                </c:ext>
              </c:extLst>
            </c:dLbl>
            <c:dLbl>
              <c:idx val="1"/>
              <c:layout>
                <c:manualLayout>
                  <c:x val="0.17088524725166779"/>
                  <c:y val="-1.92670851751275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2C5-4FD2-B545-989C5FA21445}"/>
                </c:ext>
              </c:extLst>
            </c:dLbl>
            <c:dLbl>
              <c:idx val="2"/>
              <c:layout>
                <c:manualLayout>
                  <c:x val="6.2077266169120654E-2"/>
                  <c:y val="3.141428237956825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2C5-4FD2-B545-989C5FA21445}"/>
                </c:ext>
              </c:extLst>
            </c:dLbl>
            <c:dLbl>
              <c:idx val="8"/>
              <c:layout>
                <c:manualLayout>
                  <c:x val="9.5076498452577485E-2"/>
                  <c:y val="-3.434070028396769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72C5-4FD2-B545-989C5FA21445}"/>
                </c:ext>
              </c:extLst>
            </c:dLbl>
            <c:dLbl>
              <c:idx val="20"/>
              <c:layout>
                <c:manualLayout>
                  <c:x val="-0.21587615273772384"/>
                  <c:y val="0.1287525080352576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72C5-4FD2-B545-989C5FA21445}"/>
                </c:ext>
              </c:extLst>
            </c:dLbl>
            <c:dLbl>
              <c:idx val="21"/>
              <c:layout>
                <c:manualLayout>
                  <c:x val="-0.11311305750774778"/>
                  <c:y val="2.191389850422137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72C5-4FD2-B545-989C5FA21445}"/>
                </c:ext>
              </c:extLst>
            </c:dLbl>
            <c:dLbl>
              <c:idx val="23"/>
              <c:layout>
                <c:manualLayout>
                  <c:x val="-7.4552673788836316E-2"/>
                  <c:y val="-4.494196035772420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72C5-4FD2-B545-989C5FA214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arvutused'!$B$70:$B$94</c:f>
              <c:strCache>
                <c:ptCount val="25"/>
                <c:pt idx="0">
                  <c:v>andmelao arendaja​</c:v>
                </c:pt>
                <c:pt idx="1">
                  <c:v>IT projektijuht​</c:v>
                </c:pt>
                <c:pt idx="2">
                  <c:v>rakenduste administraator​</c:v>
                </c:pt>
                <c:pt idx="3">
                  <c:v>riskijuht​</c:v>
                </c:pt>
                <c:pt idx="4">
                  <c:v>süsteemiadministraator​</c:v>
                </c:pt>
                <c:pt idx="5">
                  <c:v>tarkvara arhitekt​</c:v>
                </c:pt>
                <c:pt idx="6">
                  <c:v>testija​</c:v>
                </c:pt>
                <c:pt idx="7">
                  <c:v>tooteomanik​</c:v>
                </c:pt>
                <c:pt idx="8">
                  <c:v>infoturbespetsialist</c:v>
                </c:pt>
                <c:pt idx="9">
                  <c:v>Tarkvara arendaja</c:v>
                </c:pt>
                <c:pt idx="10">
                  <c:v>Süsteemianalüütik</c:v>
                </c:pt>
                <c:pt idx="11">
                  <c:v>võrguadministraator</c:v>
                </c:pt>
                <c:pt idx="12">
                  <c:v>õigustehaldur</c:v>
                </c:pt>
                <c:pt idx="13">
                  <c:v>IT osakonna juhataja</c:v>
                </c:pt>
                <c:pt idx="14">
                  <c:v>andmearhitekt</c:v>
                </c:pt>
                <c:pt idx="15">
                  <c:v>andmebaasiadministraator</c:v>
                </c:pt>
                <c:pt idx="16">
                  <c:v>DevOps arendaja</c:v>
                </c:pt>
                <c:pt idx="17">
                  <c:v>andmelao arhitekt</c:v>
                </c:pt>
                <c:pt idx="18">
                  <c:v>DevOps insener</c:v>
                </c:pt>
                <c:pt idx="19">
                  <c:v>DevOps spetsialist</c:v>
                </c:pt>
                <c:pt idx="20">
                  <c:v>juhtiv andmebaasi administraator</c:v>
                </c:pt>
                <c:pt idx="21">
                  <c:v>Taristu arhitekt</c:v>
                </c:pt>
                <c:pt idx="22">
                  <c:v>monitooringu spetsialist</c:v>
                </c:pt>
                <c:pt idx="23">
                  <c:v>konfiguratsioonihaldur</c:v>
                </c:pt>
                <c:pt idx="24">
                  <c:v>IT tiimijuht</c:v>
                </c:pt>
              </c:strCache>
            </c:strRef>
          </c:cat>
          <c:val>
            <c:numRef>
              <c:f>'Ettekande arvutused'!$F$70:$F$94</c:f>
              <c:numCache>
                <c:formatCode>#,##0</c:formatCode>
                <c:ptCount val="25"/>
                <c:pt idx="0">
                  <c:v>1</c:v>
                </c:pt>
                <c:pt idx="1">
                  <c:v>7</c:v>
                </c:pt>
                <c:pt idx="2">
                  <c:v>8</c:v>
                </c:pt>
                <c:pt idx="3">
                  <c:v>1</c:v>
                </c:pt>
                <c:pt idx="4">
                  <c:v>19</c:v>
                </c:pt>
                <c:pt idx="5">
                  <c:v>10</c:v>
                </c:pt>
                <c:pt idx="6">
                  <c:v>4</c:v>
                </c:pt>
                <c:pt idx="7">
                  <c:v>15</c:v>
                </c:pt>
                <c:pt idx="8">
                  <c:v>5</c:v>
                </c:pt>
                <c:pt idx="9">
                  <c:v>0</c:v>
                </c:pt>
                <c:pt idx="10">
                  <c:v>7</c:v>
                </c:pt>
                <c:pt idx="11">
                  <c:v>3</c:v>
                </c:pt>
                <c:pt idx="12">
                  <c:v>4</c:v>
                </c:pt>
                <c:pt idx="13">
                  <c:v>6</c:v>
                </c:pt>
                <c:pt idx="14">
                  <c:v>1</c:v>
                </c:pt>
                <c:pt idx="15">
                  <c:v>2</c:v>
                </c:pt>
                <c:pt idx="16">
                  <c:v>17</c:v>
                </c:pt>
                <c:pt idx="17">
                  <c:v>0</c:v>
                </c:pt>
                <c:pt idx="18">
                  <c:v>23</c:v>
                </c:pt>
                <c:pt idx="19">
                  <c:v>10</c:v>
                </c:pt>
                <c:pt idx="20">
                  <c:v>1</c:v>
                </c:pt>
                <c:pt idx="21">
                  <c:v>2</c:v>
                </c:pt>
                <c:pt idx="22" formatCode="General">
                  <c:v>1</c:v>
                </c:pt>
                <c:pt idx="23">
                  <c:v>1</c:v>
                </c:pt>
                <c:pt idx="24">
                  <c:v>4</c:v>
                </c:pt>
              </c:numCache>
            </c:numRef>
          </c:val>
          <c:extLst>
            <c:ext xmlns:c16="http://schemas.microsoft.com/office/drawing/2014/chart" uri="{C3380CC4-5D6E-409C-BE32-E72D297353CC}">
              <c16:uniqueId val="{00000032-72C5-4FD2-B545-989C5FA2144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34-72C5-4FD2-B545-989C5FA214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6-72C5-4FD2-B545-989C5FA214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8-72C5-4FD2-B545-989C5FA2144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A-72C5-4FD2-B545-989C5FA2144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C-72C5-4FD2-B545-989C5FA2144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E-72C5-4FD2-B545-989C5FA2144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40-72C5-4FD2-B545-989C5FA2144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42-72C5-4FD2-B545-989C5FA2144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44-72C5-4FD2-B545-989C5FA2144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46-72C5-4FD2-B545-989C5FA2144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48-72C5-4FD2-B545-989C5FA2144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4A-72C5-4FD2-B545-989C5FA2144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4C-72C5-4FD2-B545-989C5FA2144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4E-72C5-4FD2-B545-989C5FA2144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0-72C5-4FD2-B545-989C5FA2144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52-72C5-4FD2-B545-989C5FA2144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54-72C5-4FD2-B545-989C5FA2144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56-72C5-4FD2-B545-989C5FA2144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58-72C5-4FD2-B545-989C5FA2144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5A-72C5-4FD2-B545-989C5FA2144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5C-72C5-4FD2-B545-989C5FA2144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arvutused'!$B$70:$B$94</c:f>
              <c:strCache>
                <c:ptCount val="25"/>
                <c:pt idx="0">
                  <c:v>andmelao arendaja​</c:v>
                </c:pt>
                <c:pt idx="1">
                  <c:v>IT projektijuht​</c:v>
                </c:pt>
                <c:pt idx="2">
                  <c:v>rakenduste administraator​</c:v>
                </c:pt>
                <c:pt idx="3">
                  <c:v>riskijuht​</c:v>
                </c:pt>
                <c:pt idx="4">
                  <c:v>süsteemiadministraator​</c:v>
                </c:pt>
                <c:pt idx="5">
                  <c:v>tarkvara arhitekt​</c:v>
                </c:pt>
                <c:pt idx="6">
                  <c:v>testija​</c:v>
                </c:pt>
                <c:pt idx="7">
                  <c:v>tooteomanik​</c:v>
                </c:pt>
                <c:pt idx="8">
                  <c:v>infoturbespetsialist</c:v>
                </c:pt>
                <c:pt idx="9">
                  <c:v>Tarkvara arendaja</c:v>
                </c:pt>
                <c:pt idx="10">
                  <c:v>Süsteemianalüütik</c:v>
                </c:pt>
                <c:pt idx="11">
                  <c:v>võrguadministraator</c:v>
                </c:pt>
                <c:pt idx="12">
                  <c:v>õigustehaldur</c:v>
                </c:pt>
                <c:pt idx="13">
                  <c:v>IT osakonna juhataja</c:v>
                </c:pt>
                <c:pt idx="14">
                  <c:v>andmearhitekt</c:v>
                </c:pt>
                <c:pt idx="15">
                  <c:v>andmebaasiadministraator</c:v>
                </c:pt>
                <c:pt idx="16">
                  <c:v>DevOps arendaja</c:v>
                </c:pt>
                <c:pt idx="17">
                  <c:v>andmelao arhitekt</c:v>
                </c:pt>
                <c:pt idx="18">
                  <c:v>DevOps insener</c:v>
                </c:pt>
                <c:pt idx="19">
                  <c:v>DevOps spetsialist</c:v>
                </c:pt>
                <c:pt idx="20">
                  <c:v>juhtiv andmebaasi administraator</c:v>
                </c:pt>
                <c:pt idx="21">
                  <c:v>Taristu arhitekt</c:v>
                </c:pt>
                <c:pt idx="22">
                  <c:v>monitooringu spetsialist</c:v>
                </c:pt>
                <c:pt idx="23">
                  <c:v>konfiguratsioonihaldur</c:v>
                </c:pt>
                <c:pt idx="24">
                  <c:v>IT tiimijuht</c:v>
                </c:pt>
              </c:strCache>
            </c:strRef>
          </c:cat>
          <c:val>
            <c:numRef>
              <c:f>'Ettekande arvutused'!$G$70:$G$90</c:f>
              <c:numCache>
                <c:formatCode>#,##0</c:formatCode>
                <c:ptCount val="21"/>
                <c:pt idx="0">
                  <c:v>0</c:v>
                </c:pt>
                <c:pt idx="1">
                  <c:v>1</c:v>
                </c:pt>
                <c:pt idx="2">
                  <c:v>1</c:v>
                </c:pt>
                <c:pt idx="3">
                  <c:v>0</c:v>
                </c:pt>
                <c:pt idx="4">
                  <c:v>2</c:v>
                </c:pt>
                <c:pt idx="5">
                  <c:v>0</c:v>
                </c:pt>
                <c:pt idx="6">
                  <c:v>0</c:v>
                </c:pt>
                <c:pt idx="7">
                  <c:v>1</c:v>
                </c:pt>
                <c:pt idx="8">
                  <c:v>2</c:v>
                </c:pt>
                <c:pt idx="9">
                  <c:v>0</c:v>
                </c:pt>
                <c:pt idx="10">
                  <c:v>3</c:v>
                </c:pt>
                <c:pt idx="11">
                  <c:v>0</c:v>
                </c:pt>
                <c:pt idx="12">
                  <c:v>0</c:v>
                </c:pt>
                <c:pt idx="13">
                  <c:v>0</c:v>
                </c:pt>
                <c:pt idx="14">
                  <c:v>0</c:v>
                </c:pt>
                <c:pt idx="15">
                  <c:v>1</c:v>
                </c:pt>
                <c:pt idx="16">
                  <c:v>2</c:v>
                </c:pt>
                <c:pt idx="17">
                  <c:v>1</c:v>
                </c:pt>
                <c:pt idx="18">
                  <c:v>1</c:v>
                </c:pt>
                <c:pt idx="19">
                  <c:v>0</c:v>
                </c:pt>
                <c:pt idx="20">
                  <c:v>0</c:v>
                </c:pt>
              </c:numCache>
            </c:numRef>
          </c:val>
          <c:extLst>
            <c:ext xmlns:c16="http://schemas.microsoft.com/office/drawing/2014/chart" uri="{C3380CC4-5D6E-409C-BE32-E72D297353CC}">
              <c16:uniqueId val="{0000005D-72C5-4FD2-B545-989C5FA21445}"/>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t-EE"/>
        </a:p>
      </c:txPr>
    </c:title>
    <c:autoTitleDeleted val="0"/>
    <c:plotArea>
      <c:layout/>
      <c:pieChart>
        <c:varyColors val="1"/>
        <c:ser>
          <c:idx val="0"/>
          <c:order val="0"/>
          <c:tx>
            <c:strRef>
              <c:f>'Ettekande arvutused'!$C$67:$E$67</c:f>
              <c:strCache>
                <c:ptCount val="3"/>
                <c:pt idx="0">
                  <c:v>Seisuga 01.01.2023</c:v>
                </c:pt>
              </c:strCache>
            </c:strRef>
          </c:tx>
          <c:dPt>
            <c:idx val="0"/>
            <c:bubble3D val="0"/>
            <c:explosion val="2"/>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D09E-4CA5-A59F-55A9CB3DBF0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D09E-4CA5-A59F-55A9CB3DBF0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t-E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arvutused'!$C$68:$E$68</c15:sqref>
                  </c15:fullRef>
                </c:ext>
              </c:extLst>
              <c:f>'Ettekande arvutused'!$C$68:$D$68</c:f>
              <c:strCache>
                <c:ptCount val="2"/>
                <c:pt idx="0">
                  <c:v>Täidetud/olemas</c:v>
                </c:pt>
                <c:pt idx="1">
                  <c:v>Täitmata</c:v>
                </c:pt>
              </c:strCache>
            </c:strRef>
          </c:cat>
          <c:val>
            <c:numRef>
              <c:extLst>
                <c:ext xmlns:c15="http://schemas.microsoft.com/office/drawing/2012/chart" uri="{02D57815-91ED-43cb-92C2-25804820EDAC}">
                  <c15:fullRef>
                    <c15:sqref>'Ettekande arvutused'!$C$69:$E$69</c15:sqref>
                  </c15:fullRef>
                </c:ext>
              </c:extLst>
              <c:f>'Ettekande arvutused'!$C$69:$D$69</c:f>
              <c:numCache>
                <c:formatCode>#,##0</c:formatCode>
                <c:ptCount val="2"/>
                <c:pt idx="0">
                  <c:v>142</c:v>
                </c:pt>
                <c:pt idx="1">
                  <c:v>12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4-D09E-4CA5-A59F-55A9CB3DBF0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t-EE"/>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n-NO" sz="1800" b="1" i="0" u="none" strike="noStrike" kern="1200" baseline="0" dirty="0">
                <a:solidFill>
                  <a:prstClr val="black">
                    <a:lumMod val="75000"/>
                    <a:lumOff val="25000"/>
                  </a:prstClr>
                </a:solidFill>
              </a:rPr>
              <a:t>RmIT IKT personal seisuga 01.01.2024</a:t>
            </a:r>
            <a:r>
              <a:rPr lang="et-EE" sz="1800" b="1" i="0" u="none" strike="noStrike" kern="1200" baseline="0" dirty="0">
                <a:solidFill>
                  <a:prstClr val="black">
                    <a:lumMod val="75000"/>
                    <a:lumOff val="25000"/>
                  </a:prstClr>
                </a:solidFill>
              </a:rPr>
              <a:t> kokku 168</a:t>
            </a:r>
            <a:r>
              <a:rPr lang="nn-NO" sz="1800" b="1" i="0" u="none" strike="noStrike" kern="1200" baseline="0" dirty="0">
                <a:solidFill>
                  <a:prstClr val="black">
                    <a:lumMod val="75000"/>
                    <a:lumOff val="25000"/>
                  </a:prst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t-EE"/>
        </a:p>
      </c:txPr>
    </c:title>
    <c:autoTitleDeleted val="0"/>
    <c:plotArea>
      <c:layout/>
      <c:pieChart>
        <c:varyColors val="1"/>
        <c:ser>
          <c:idx val="0"/>
          <c:order val="0"/>
          <c:tx>
            <c:strRef>
              <c:f>'Ettekande arvutused'!$F$67:$H$67</c:f>
              <c:strCache>
                <c:ptCount val="3"/>
                <c:pt idx="0">
                  <c:v>RmIT IKT personal seisuga 01.01.2024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5E00-44C6-B853-B43D970AF89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5E00-44C6-B853-B43D970AF89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t-E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arvutused'!$F$68:$H$68</c15:sqref>
                  </c15:fullRef>
                </c:ext>
              </c:extLst>
              <c:f>'Ettekande arvutused'!$F$68:$G$68</c:f>
              <c:strCache>
                <c:ptCount val="2"/>
                <c:pt idx="0">
                  <c:v>Täidetud/olemas</c:v>
                </c:pt>
                <c:pt idx="1">
                  <c:v>Täitmata</c:v>
                </c:pt>
              </c:strCache>
            </c:strRef>
          </c:cat>
          <c:val>
            <c:numRef>
              <c:extLst>
                <c:ext xmlns:c15="http://schemas.microsoft.com/office/drawing/2012/chart" uri="{02D57815-91ED-43cb-92C2-25804820EDAC}">
                  <c15:fullRef>
                    <c15:sqref>'Ettekande arvutused'!$F$69:$H$69</c15:sqref>
                  </c15:fullRef>
                </c:ext>
              </c:extLst>
              <c:f>'Ettekande arvutused'!$F$69:$G$69</c:f>
              <c:numCache>
                <c:formatCode>#,##0</c:formatCode>
                <c:ptCount val="2"/>
                <c:pt idx="0">
                  <c:v>152</c:v>
                </c:pt>
                <c:pt idx="1">
                  <c:v>16</c:v>
                </c:pt>
              </c:numCache>
            </c:numRef>
          </c:val>
          <c:extLst>
            <c:ext xmlns:c15="http://schemas.microsoft.com/office/drawing/2012/chart" uri="{02D57815-91ED-43cb-92C2-25804820EDAC}">
              <c15:categoryFilterExceptions>
                <c15:categoryFilterException>
                  <c15:sqref>'Ettekande arvutused'!$H$69</c15:sqref>
                  <c15:spPr xmlns:c15="http://schemas.microsoft.com/office/drawing/2012/chart">
                    <a:solidFill>
                      <a:schemeClr val="accent3"/>
                    </a:solidFill>
                    <a:ln>
                      <a:noFill/>
                    </a:ln>
                    <a:effectLst>
                      <a:outerShdw blurRad="254000" sx="102000" sy="102000" algn="ctr" rotWithShape="0">
                        <a:prstClr val="black">
                          <a:alpha val="20000"/>
                        </a:prstClr>
                      </a:outerShdw>
                    </a:effectLst>
                  </c15:spPr>
                  <c15:bubble3D val="0"/>
                </c15:categoryFilterException>
              </c15:categoryFilterExceptions>
            </c:ext>
            <c:ext xmlns:c16="http://schemas.microsoft.com/office/drawing/2014/chart" uri="{C3380CC4-5D6E-409C-BE32-E72D297353CC}">
              <c16:uniqueId val="{00000006-5E00-44C6-B853-B43D970AF8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t-EE"/>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'Ettekande arvutused'!$B$51</c:f>
              <c:strCache>
                <c:ptCount val="1"/>
                <c:pt idx="0">
                  <c:v>Töötajate arv ​</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'Ettekande arvutused'!$C$50:$I$50</c:f>
              <c:strCache>
                <c:ptCount val="7"/>
                <c:pt idx="0">
                  <c:v>01.01.2021</c:v>
                </c:pt>
                <c:pt idx="1">
                  <c:v>01.01.2022</c:v>
                </c:pt>
                <c:pt idx="2">
                  <c:v>01.01.2023</c:v>
                </c:pt>
                <c:pt idx="3">
                  <c:v>01.01.2024</c:v>
                </c:pt>
                <c:pt idx="4">
                  <c:v>01.01.2025*​</c:v>
                </c:pt>
                <c:pt idx="5">
                  <c:v>01.01.2026*​</c:v>
                </c:pt>
                <c:pt idx="6">
                  <c:v>01.01.2027*​</c:v>
                </c:pt>
              </c:strCache>
            </c:strRef>
          </c:cat>
          <c:val>
            <c:numRef>
              <c:f>'Ettekande arvutused'!$C$51:$I$51</c:f>
              <c:numCache>
                <c:formatCode>#,##0</c:formatCode>
                <c:ptCount val="7"/>
                <c:pt idx="0">
                  <c:v>281</c:v>
                </c:pt>
                <c:pt idx="1">
                  <c:v>277</c:v>
                </c:pt>
                <c:pt idx="2">
                  <c:v>274</c:v>
                </c:pt>
                <c:pt idx="3">
                  <c:v>289</c:v>
                </c:pt>
                <c:pt idx="4">
                  <c:v>331</c:v>
                </c:pt>
                <c:pt idx="5">
                  <c:v>333</c:v>
                </c:pt>
                <c:pt idx="6">
                  <c:v>334</c:v>
                </c:pt>
              </c:numCache>
            </c:numRef>
          </c:val>
          <c:smooth val="0"/>
          <c:extLst>
            <c:ext xmlns:c16="http://schemas.microsoft.com/office/drawing/2014/chart" uri="{C3380CC4-5D6E-409C-BE32-E72D297353CC}">
              <c16:uniqueId val="{00000000-0F49-486D-8396-EFC8E8EF6700}"/>
            </c:ext>
          </c:extLst>
        </c:ser>
        <c:dLbls>
          <c:showLegendKey val="0"/>
          <c:showVal val="1"/>
          <c:showCatName val="0"/>
          <c:showSerName val="0"/>
          <c:showPercent val="0"/>
          <c:showBubbleSize val="0"/>
        </c:dLbls>
        <c:marker val="1"/>
        <c:smooth val="0"/>
        <c:axId val="2014720464"/>
        <c:axId val="337308592"/>
      </c:lineChart>
      <c:lineChart>
        <c:grouping val="stacked"/>
        <c:varyColors val="0"/>
        <c:ser>
          <c:idx val="1"/>
          <c:order val="1"/>
          <c:tx>
            <c:strRef>
              <c:f>'Ettekande arvutused'!$B$52</c:f>
              <c:strCache>
                <c:ptCount val="1"/>
                <c:pt idx="0">
                  <c:v>Kasv​ (%, võrrelduna eelmise aastaga)</c:v>
                </c:pt>
              </c:strCache>
            </c:strRef>
          </c:tx>
          <c:spPr>
            <a:ln w="31750" cap="rnd">
              <a:solidFill>
                <a:schemeClr val="accent2"/>
              </a:solidFill>
              <a:round/>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'Ettekande arvutused'!$C$50:$I$50</c:f>
              <c:strCache>
                <c:ptCount val="7"/>
                <c:pt idx="0">
                  <c:v>01.01.2021</c:v>
                </c:pt>
                <c:pt idx="1">
                  <c:v>01.01.2022</c:v>
                </c:pt>
                <c:pt idx="2">
                  <c:v>01.01.2023</c:v>
                </c:pt>
                <c:pt idx="3">
                  <c:v>01.01.2024</c:v>
                </c:pt>
                <c:pt idx="4">
                  <c:v>01.01.2025*​</c:v>
                </c:pt>
                <c:pt idx="5">
                  <c:v>01.01.2026*​</c:v>
                </c:pt>
                <c:pt idx="6">
                  <c:v>01.01.2027*​</c:v>
                </c:pt>
              </c:strCache>
            </c:strRef>
          </c:cat>
          <c:val>
            <c:numRef>
              <c:f>'Ettekande arvutused'!$C$52:$I$52</c:f>
              <c:numCache>
                <c:formatCode>0.0</c:formatCode>
                <c:ptCount val="7"/>
                <c:pt idx="0" formatCode="#,##0">
                  <c:v>0</c:v>
                </c:pt>
                <c:pt idx="1">
                  <c:v>-1.4234875444839759</c:v>
                </c:pt>
                <c:pt idx="2">
                  <c:v>-1.0830324909747304</c:v>
                </c:pt>
                <c:pt idx="3">
                  <c:v>5.4744525547445306</c:v>
                </c:pt>
                <c:pt idx="4">
                  <c:v>14.532871972318333</c:v>
                </c:pt>
                <c:pt idx="5">
                  <c:v>0.60422960725074404</c:v>
                </c:pt>
                <c:pt idx="6">
                  <c:v>0.3003003003003073</c:v>
                </c:pt>
              </c:numCache>
            </c:numRef>
          </c:val>
          <c:smooth val="0"/>
          <c:extLst>
            <c:ext xmlns:c16="http://schemas.microsoft.com/office/drawing/2014/chart" uri="{C3380CC4-5D6E-409C-BE32-E72D297353CC}">
              <c16:uniqueId val="{00000001-0F49-486D-8396-EFC8E8EF6700}"/>
            </c:ext>
          </c:extLst>
        </c:ser>
        <c:dLbls>
          <c:showLegendKey val="0"/>
          <c:showVal val="1"/>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t-EE"/>
          </a:p>
        </c:txPr>
        <c:crossAx val="337308592"/>
        <c:crosses val="max"/>
        <c:auto val="0"/>
        <c:lblOffset val="100"/>
        <c:baseTimeUnit val="days"/>
      </c:dateAx>
      <c:valAx>
        <c:axId val="337308592"/>
        <c:scaling>
          <c:orientation val="minMax"/>
          <c:min val="100"/>
        </c:scaling>
        <c:delete val="0"/>
        <c:axPos val="r"/>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none"/>
        <c:minorTickMark val="none"/>
        <c:tickLblPos val="nextTo"/>
        <c:crossAx val="2118284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sz="1400" b="1" i="0" u="none" strike="noStrike" baseline="0">
                <a:effectLst/>
              </a:rPr>
              <a:t>RMV asutuste v.a RmIT ja RAB IKT personal seisuga 01.01.2024</a:t>
            </a:r>
            <a:r>
              <a:rPr lang="et-EE" sz="1400" b="0" i="0" u="none" strike="noStrike" baseline="0"/>
              <a:t> </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0702618741562903"/>
          <c:y val="0.17036677151996182"/>
          <c:w val="0.4958178100619971"/>
          <c:h val="0.6399662800191477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18-4416-9E2E-CDD01C660D1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18-4416-9E2E-CDD01C660D1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18-4416-9E2E-CDD01C660D1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18-4416-9E2E-CDD01C660D1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18-4416-9E2E-CDD01C660D1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18-4416-9E2E-CDD01C660D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B18-4416-9E2E-CDD01C660D1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B18-4416-9E2E-CDD01C660D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B18-4416-9E2E-CDD01C660D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B18-4416-9E2E-CDD01C660D1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B18-4416-9E2E-CDD01C660D1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B18-4416-9E2E-CDD01C660D1D}"/>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B18-4416-9E2E-CDD01C660D1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B18-4416-9E2E-CDD01C660D1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B18-4416-9E2E-CDD01C660D1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9B18-4416-9E2E-CDD01C660D1D}"/>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9B18-4416-9E2E-CDD01C660D1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9B18-4416-9E2E-CDD01C660D1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9B18-4416-9E2E-CDD01C660D1D}"/>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9B18-4416-9E2E-CDD01C660D1D}"/>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9B18-4416-9E2E-CDD01C660D1D}"/>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9B18-4416-9E2E-CDD01C660D1D}"/>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9B18-4416-9E2E-CDD01C660D1D}"/>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9B18-4416-9E2E-CDD01C660D1D}"/>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9B18-4416-9E2E-CDD01C660D1D}"/>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9B18-4416-9E2E-CDD01C660D1D}"/>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9B18-4416-9E2E-CDD01C660D1D}"/>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9B18-4416-9E2E-CDD01C660D1D}"/>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9B18-4416-9E2E-CDD01C660D1D}"/>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9B18-4416-9E2E-CDD01C660D1D}"/>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9B18-4416-9E2E-CDD01C660D1D}"/>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9B18-4416-9E2E-CDD01C660D1D}"/>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9B18-4416-9E2E-CDD01C660D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arvutused'!$B$101:$B$133</c:f>
              <c:strCache>
                <c:ptCount val="33"/>
                <c:pt idx="0">
                  <c:v>IT projektijuht​</c:v>
                </c:pt>
                <c:pt idx="1">
                  <c:v>rakenduste administraator​</c:v>
                </c:pt>
                <c:pt idx="2">
                  <c:v>testija​</c:v>
                </c:pt>
                <c:pt idx="3">
                  <c:v>tooteomanik​</c:v>
                </c:pt>
                <c:pt idx="4">
                  <c:v>infoturbespetsialist</c:v>
                </c:pt>
                <c:pt idx="5">
                  <c:v>Süsteemianalüütik</c:v>
                </c:pt>
                <c:pt idx="6">
                  <c:v>Projektijuht​</c:v>
                </c:pt>
                <c:pt idx="7">
                  <c:v>Kasutajatugi</c:v>
                </c:pt>
                <c:pt idx="8">
                  <c:v>Aruandlusspetsialist</c:v>
                </c:pt>
                <c:pt idx="9">
                  <c:v>Rakenduse administraator</c:v>
                </c:pt>
                <c:pt idx="10">
                  <c:v>Tarkvara konsultant</c:v>
                </c:pt>
                <c:pt idx="11">
                  <c:v>Aruandluse arendaja</c:v>
                </c:pt>
                <c:pt idx="12">
                  <c:v>Arendaja</c:v>
                </c:pt>
                <c:pt idx="13">
                  <c:v>arvutigraafika</c:v>
                </c:pt>
                <c:pt idx="14">
                  <c:v>arenduste valdkonnajuht/ IT juht</c:v>
                </c:pt>
                <c:pt idx="15">
                  <c:v>rakenduste juht</c:v>
                </c:pt>
                <c:pt idx="16">
                  <c:v>süsteemiarhitektuur</c:v>
                </c:pt>
                <c:pt idx="17">
                  <c:v>andmearhitektuur</c:v>
                </c:pt>
                <c:pt idx="18">
                  <c:v>IT juht</c:v>
                </c:pt>
                <c:pt idx="19">
                  <c:v>programmeerija</c:v>
                </c:pt>
                <c:pt idx="20">
                  <c:v>protsessijuht</c:v>
                </c:pt>
                <c:pt idx="21">
                  <c:v>analüütik-disainer</c:v>
                </c:pt>
                <c:pt idx="22">
                  <c:v>e-tolli koordinaator</c:v>
                </c:pt>
                <c:pt idx="23">
                  <c:v>peakasutaja</c:v>
                </c:pt>
                <c:pt idx="24">
                  <c:v>andmekaitsespetsialist</c:v>
                </c:pt>
                <c:pt idx="25">
                  <c:v>tootejuht</c:v>
                </c:pt>
                <c:pt idx="26">
                  <c:v>e-kanalite teenusejuht/üksuse juht</c:v>
                </c:pt>
                <c:pt idx="27">
                  <c:v>klienditoe konsultant (tehniline tugi)</c:v>
                </c:pt>
                <c:pt idx="28">
                  <c:v>teenusehaldur</c:v>
                </c:pt>
                <c:pt idx="29">
                  <c:v>äriarhitekt</c:v>
                </c:pt>
                <c:pt idx="30">
                  <c:v>andmeteenuse arhitekt-analüütik</c:v>
                </c:pt>
                <c:pt idx="31">
                  <c:v>arendusanalüütik</c:v>
                </c:pt>
                <c:pt idx="32">
                  <c:v>ärianalüütik</c:v>
                </c:pt>
              </c:strCache>
            </c:strRef>
          </c:cat>
          <c:val>
            <c:numRef>
              <c:f>'Ettekande arvutused'!$F$101:$F$133</c:f>
              <c:numCache>
                <c:formatCode>#,##0</c:formatCode>
                <c:ptCount val="33"/>
                <c:pt idx="0">
                  <c:v>2</c:v>
                </c:pt>
                <c:pt idx="1">
                  <c:v>5</c:v>
                </c:pt>
                <c:pt idx="2">
                  <c:v>1</c:v>
                </c:pt>
                <c:pt idx="3">
                  <c:v>9</c:v>
                </c:pt>
                <c:pt idx="4">
                  <c:v>4</c:v>
                </c:pt>
                <c:pt idx="5">
                  <c:v>2</c:v>
                </c:pt>
                <c:pt idx="6">
                  <c:v>3</c:v>
                </c:pt>
                <c:pt idx="7">
                  <c:v>6</c:v>
                </c:pt>
                <c:pt idx="8">
                  <c:v>1</c:v>
                </c:pt>
                <c:pt idx="9">
                  <c:v>1</c:v>
                </c:pt>
                <c:pt idx="10">
                  <c:v>9</c:v>
                </c:pt>
                <c:pt idx="11">
                  <c:v>1</c:v>
                </c:pt>
                <c:pt idx="12">
                  <c:v>1</c:v>
                </c:pt>
                <c:pt idx="13">
                  <c:v>1</c:v>
                </c:pt>
                <c:pt idx="14">
                  <c:v>10</c:v>
                </c:pt>
                <c:pt idx="15">
                  <c:v>7</c:v>
                </c:pt>
                <c:pt idx="16">
                  <c:v>1</c:v>
                </c:pt>
                <c:pt idx="17">
                  <c:v>1</c:v>
                </c:pt>
                <c:pt idx="18">
                  <c:v>4</c:v>
                </c:pt>
                <c:pt idx="19">
                  <c:v>2</c:v>
                </c:pt>
                <c:pt idx="20">
                  <c:v>7</c:v>
                </c:pt>
                <c:pt idx="21">
                  <c:v>1</c:v>
                </c:pt>
                <c:pt idx="22">
                  <c:v>1</c:v>
                </c:pt>
                <c:pt idx="23" formatCode="General">
                  <c:v>15</c:v>
                </c:pt>
                <c:pt idx="24" formatCode="General">
                  <c:v>2</c:v>
                </c:pt>
                <c:pt idx="25" formatCode="General">
                  <c:v>4</c:v>
                </c:pt>
                <c:pt idx="26" formatCode="General">
                  <c:v>1</c:v>
                </c:pt>
                <c:pt idx="27" formatCode="General">
                  <c:v>2</c:v>
                </c:pt>
                <c:pt idx="28" formatCode="General">
                  <c:v>1</c:v>
                </c:pt>
                <c:pt idx="29" formatCode="General">
                  <c:v>4</c:v>
                </c:pt>
                <c:pt idx="30" formatCode="General">
                  <c:v>1</c:v>
                </c:pt>
                <c:pt idx="31" formatCode="General">
                  <c:v>1</c:v>
                </c:pt>
                <c:pt idx="32" formatCode="General">
                  <c:v>0</c:v>
                </c:pt>
              </c:numCache>
            </c:numRef>
          </c:val>
          <c:extLst>
            <c:ext xmlns:c16="http://schemas.microsoft.com/office/drawing/2014/chart" uri="{C3380CC4-5D6E-409C-BE32-E72D297353CC}">
              <c16:uniqueId val="{00000042-9B18-4416-9E2E-CDD01C660D1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t-EE"/>
        </a:p>
      </c:txPr>
    </c:title>
    <c:autoTitleDeleted val="0"/>
    <c:plotArea>
      <c:layout/>
      <c:pieChart>
        <c:varyColors val="1"/>
        <c:ser>
          <c:idx val="0"/>
          <c:order val="0"/>
          <c:tx>
            <c:strRef>
              <c:f>'Ettekande arvutused'!$C$98</c:f>
              <c:strCache>
                <c:ptCount val="1"/>
                <c:pt idx="0">
                  <c:v>Seisuga 01.01.2023</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DF2-4883-A878-2113A498D804}"/>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DF2-4883-A878-2113A498D804}"/>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BDF2-4883-A878-2113A498D80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t-EE"/>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'Ettekande arvutused'!$C$98:$E$99</c:f>
              <c:multiLvlStrCache>
                <c:ptCount val="3"/>
                <c:lvl>
                  <c:pt idx="0">
                    <c:v>Täidetud/olemas</c:v>
                  </c:pt>
                  <c:pt idx="1">
                    <c:v>Täitmata</c:v>
                  </c:pt>
                  <c:pt idx="2">
                    <c:v>Kokku</c:v>
                  </c:pt>
                </c:lvl>
                <c:lvl>
                  <c:pt idx="0">
                    <c:v>Seisuga 01.01.2023</c:v>
                  </c:pt>
                </c:lvl>
              </c:multiLvlStrCache>
            </c:multiLvlStrRef>
          </c:cat>
          <c:val>
            <c:numRef>
              <c:f>'Ettekande arvutused'!$C$100:$E$100</c:f>
              <c:numCache>
                <c:formatCode>#,##0</c:formatCode>
                <c:ptCount val="3"/>
                <c:pt idx="0">
                  <c:v>110</c:v>
                </c:pt>
                <c:pt idx="1">
                  <c:v>11</c:v>
                </c:pt>
                <c:pt idx="2">
                  <c:v>121</c:v>
                </c:pt>
              </c:numCache>
            </c:numRef>
          </c:val>
          <c:extLst>
            <c:ext xmlns:c16="http://schemas.microsoft.com/office/drawing/2014/chart" uri="{C3380CC4-5D6E-409C-BE32-E72D297353CC}">
              <c16:uniqueId val="{00000000-BA33-48E0-804B-539B45B9BEEC}"/>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t-EE"/>
        </a:p>
      </c:txPr>
    </c:title>
    <c:autoTitleDeleted val="0"/>
    <c:plotArea>
      <c:layout/>
      <c:pieChart>
        <c:varyColors val="1"/>
        <c:ser>
          <c:idx val="0"/>
          <c:order val="0"/>
          <c:tx>
            <c:strRef>
              <c:f>'Ettekande arvutused'!$F$98</c:f>
              <c:strCache>
                <c:ptCount val="1"/>
                <c:pt idx="0">
                  <c:v>RMV asutuste v.a RmIT ja RAB IKT personal seisuga 01.01.2024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1C2-40A1-A3EE-05A86CFB83FD}"/>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1C2-40A1-A3EE-05A86CFB83FD}"/>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1C2-40A1-A3EE-05A86CFB83F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t-E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'Ettekande arvutused'!$F$99:$H$99</c:f>
              <c:strCache>
                <c:ptCount val="3"/>
                <c:pt idx="0">
                  <c:v>Täidetud/olemas</c:v>
                </c:pt>
                <c:pt idx="1">
                  <c:v>Täitmata</c:v>
                </c:pt>
                <c:pt idx="2">
                  <c:v>Kokku</c:v>
                </c:pt>
              </c:strCache>
            </c:strRef>
          </c:cat>
          <c:val>
            <c:numRef>
              <c:f>'Ettekande arvutused'!$F$100:$H$100</c:f>
              <c:numCache>
                <c:formatCode>#,##0</c:formatCode>
                <c:ptCount val="3"/>
                <c:pt idx="0">
                  <c:v>111</c:v>
                </c:pt>
                <c:pt idx="1">
                  <c:v>11</c:v>
                </c:pt>
                <c:pt idx="2">
                  <c:v>122</c:v>
                </c:pt>
              </c:numCache>
            </c:numRef>
          </c:val>
          <c:extLst>
            <c:ext xmlns:c16="http://schemas.microsoft.com/office/drawing/2014/chart" uri="{C3380CC4-5D6E-409C-BE32-E72D297353CC}">
              <c16:uniqueId val="{00000000-478C-43BF-BE0B-0E45597EC81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t-E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fi-FI" sz="1200" b="0" i="0" u="none" strike="noStrike" kern="1200" spc="0" baseline="0" dirty="0">
                <a:solidFill>
                  <a:prstClr val="black"/>
                </a:solidFill>
              </a:rPr>
              <a:t>2024 </a:t>
            </a:r>
            <a:r>
              <a:rPr lang="fi-FI" sz="1200" b="0" i="0" u="none" strike="noStrike" kern="1200" spc="0" baseline="0" dirty="0" err="1">
                <a:solidFill>
                  <a:prstClr val="black"/>
                </a:solidFill>
              </a:rPr>
              <a:t>eelarve</a:t>
            </a:r>
            <a:r>
              <a:rPr lang="fi-FI" sz="1200" b="0" i="0" u="none" strike="noStrike" kern="1200" spc="0" baseline="0" dirty="0">
                <a:solidFill>
                  <a:prstClr val="black"/>
                </a:solidFill>
              </a:rPr>
              <a:t> </a:t>
            </a:r>
            <a:r>
              <a:rPr lang="fi-FI" sz="1200" b="0" i="0" u="none" strike="noStrike" kern="1200" spc="0" baseline="0" dirty="0" err="1">
                <a:solidFill>
                  <a:prstClr val="black"/>
                </a:solidFill>
              </a:rPr>
              <a:t>liikide</a:t>
            </a:r>
            <a:r>
              <a:rPr lang="fi-FI" sz="1200" b="0" i="0" u="none" strike="noStrike" kern="1200" spc="0" baseline="0" dirty="0">
                <a:solidFill>
                  <a:prstClr val="black"/>
                </a:solidFill>
              </a:rPr>
              <a:t> </a:t>
            </a:r>
            <a:r>
              <a:rPr lang="fi-FI" sz="1200" b="0" i="0" u="none" strike="noStrike" kern="1200" spc="0" baseline="0" dirty="0" err="1">
                <a:solidFill>
                  <a:prstClr val="black"/>
                </a:solidFill>
              </a:rPr>
              <a:t>lõikes</a:t>
            </a:r>
            <a:r>
              <a:rPr lang="fi-FI" sz="1200" b="0" i="0" u="none" strike="noStrike" kern="1200" spc="0" baseline="0" dirty="0">
                <a:solidFill>
                  <a:prstClr val="black"/>
                </a:solidFill>
              </a:rPr>
              <a:t> </a:t>
            </a:r>
            <a:r>
              <a:rPr lang="fi-FI" sz="1200" b="0" i="0" u="none" strike="noStrike" kern="1200" spc="0" baseline="0" dirty="0" err="1">
                <a:solidFill>
                  <a:prstClr val="black"/>
                </a:solidFill>
              </a:rPr>
              <a:t>kokku</a:t>
            </a:r>
            <a:r>
              <a:rPr lang="fi-FI" sz="1200" b="0" i="0" u="none" strike="noStrike" kern="1200" spc="0" baseline="0" dirty="0">
                <a:solidFill>
                  <a:prstClr val="black"/>
                </a:solidFill>
              </a:rPr>
              <a:t> 58, 8 </a:t>
            </a:r>
            <a:r>
              <a:rPr lang="fi-FI" sz="1200" b="0" i="0" u="none" strike="noStrike" kern="1200" spc="0" baseline="0" dirty="0" err="1">
                <a:solidFill>
                  <a:prstClr val="black"/>
                </a:solidFill>
              </a:rPr>
              <a:t>milj</a:t>
            </a:r>
            <a:endParaRPr lang="et-EE" sz="1200" b="0" i="0" u="none" strike="noStrike" kern="1200" spc="0" baseline="0" dirty="0">
              <a:solidFill>
                <a:prstClr val="black"/>
              </a:solidFill>
            </a:endParaRPr>
          </a:p>
        </c:rich>
      </c:tx>
      <c:layout>
        <c:manualLayout>
          <c:xMode val="edge"/>
          <c:yMode val="edge"/>
          <c:x val="0.22173766657177046"/>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B51-47A0-A3DA-7B7A91042A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1-E2E4-4F46-9C63-B2C3480B70A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E2E4-4F46-9C63-B2C3480B70A6}"/>
              </c:ext>
            </c:extLst>
          </c:dPt>
          <c:dLbls>
            <c:dLbl>
              <c:idx val="1"/>
              <c:layout>
                <c:manualLayout>
                  <c:x val="-5.9116579177602824E-2"/>
                  <c:y val="8.6953193350830932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2E4-4F46-9C63-B2C3480B70A6}"/>
                </c:ext>
              </c:extLst>
            </c:dLbl>
            <c:dLbl>
              <c:idx val="2"/>
              <c:layout>
                <c:manualLayout>
                  <c:x val="3.9981408573928207E-2"/>
                  <c:y val="3.8315835520559907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2E4-4F46-9C63-B2C3480B70A6}"/>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arvutused'!$B$36:$B$38</c:f>
              <c:strCache>
                <c:ptCount val="3"/>
                <c:pt idx="0">
                  <c:v>Riigieelarve​</c:v>
                </c:pt>
                <c:pt idx="1">
                  <c:v>Välistoetused​</c:v>
                </c:pt>
                <c:pt idx="2">
                  <c:v>Muud​</c:v>
                </c:pt>
              </c:strCache>
            </c:strRef>
          </c:cat>
          <c:val>
            <c:numRef>
              <c:f>'Ettekande arvutused'!$C$36:$C$38</c:f>
              <c:numCache>
                <c:formatCode>#,##0</c:formatCode>
                <c:ptCount val="3"/>
                <c:pt idx="0">
                  <c:v>50243492</c:v>
                </c:pt>
                <c:pt idx="1">
                  <c:v>6304193</c:v>
                </c:pt>
                <c:pt idx="2">
                  <c:v>2233273</c:v>
                </c:pt>
              </c:numCache>
            </c:numRef>
          </c:val>
          <c:extLst>
            <c:ext xmlns:c16="http://schemas.microsoft.com/office/drawing/2014/chart" uri="{C3380CC4-5D6E-409C-BE32-E72D297353CC}">
              <c16:uniqueId val="{00000000-E2E4-4F46-9C63-B2C3480B70A6}"/>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t-E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fi-FI" sz="1200" b="0" i="0" u="none" strike="noStrike" kern="1200" spc="0" baseline="0" dirty="0">
                <a:solidFill>
                  <a:prstClr val="black"/>
                </a:solidFill>
              </a:rPr>
              <a:t>2024 </a:t>
            </a:r>
            <a:r>
              <a:rPr lang="fi-FI" sz="1200" b="0" i="0" u="none" strike="noStrike" kern="1200" spc="0" baseline="0" dirty="0" err="1">
                <a:solidFill>
                  <a:prstClr val="black"/>
                </a:solidFill>
              </a:rPr>
              <a:t>eelarve</a:t>
            </a:r>
            <a:r>
              <a:rPr lang="fi-FI" sz="1200" b="0" i="0" u="none" strike="noStrike" kern="1200" spc="0" baseline="0" dirty="0">
                <a:solidFill>
                  <a:prstClr val="black"/>
                </a:solidFill>
              </a:rPr>
              <a:t> </a:t>
            </a:r>
            <a:r>
              <a:rPr lang="fi-FI" sz="1200" b="0" i="0" u="none" strike="noStrike" kern="1200" spc="0" baseline="0" dirty="0" err="1">
                <a:solidFill>
                  <a:prstClr val="black"/>
                </a:solidFill>
              </a:rPr>
              <a:t>majandusliku</a:t>
            </a:r>
            <a:r>
              <a:rPr lang="fi-FI" sz="1200" b="0" i="0" u="none" strike="noStrike" kern="1200" spc="0" baseline="0" dirty="0">
                <a:solidFill>
                  <a:prstClr val="black"/>
                </a:solidFill>
              </a:rPr>
              <a:t> sisu </a:t>
            </a:r>
            <a:r>
              <a:rPr lang="fi-FI" sz="1200" b="0" i="0" u="none" strike="noStrike" kern="1200" spc="0" baseline="0" dirty="0" err="1">
                <a:solidFill>
                  <a:prstClr val="black"/>
                </a:solidFill>
              </a:rPr>
              <a:t>lõikes</a:t>
            </a:r>
            <a:r>
              <a:rPr lang="fi-FI" sz="1200" b="0" i="0" u="none" strike="noStrike" kern="1200" spc="0" baseline="0" dirty="0">
                <a:solidFill>
                  <a:prstClr val="black"/>
                </a:solidFill>
              </a:rPr>
              <a:t> </a:t>
            </a:r>
            <a:r>
              <a:rPr lang="fi-FI" sz="1200" b="0" i="0" u="none" strike="noStrike" kern="1200" spc="0" baseline="0" dirty="0" err="1">
                <a:solidFill>
                  <a:prstClr val="black"/>
                </a:solidFill>
              </a:rPr>
              <a:t>kokku</a:t>
            </a:r>
            <a:r>
              <a:rPr lang="fi-FI" sz="1200" b="0" i="0" u="none" strike="noStrike" kern="1200" spc="0" baseline="0" dirty="0">
                <a:solidFill>
                  <a:prstClr val="black"/>
                </a:solidFill>
              </a:rPr>
              <a:t> 58,8 </a:t>
            </a:r>
            <a:r>
              <a:rPr lang="fi-FI" sz="1200" b="0" i="0" u="none" strike="noStrike" kern="1200" spc="0" baseline="0" dirty="0" err="1">
                <a:solidFill>
                  <a:prstClr val="black"/>
                </a:solidFill>
              </a:rPr>
              <a:t>milj</a:t>
            </a:r>
            <a:endParaRPr lang="et-EE" sz="1200" b="0" i="0" u="none" strike="noStrike" kern="1200" spc="0" baseline="0" dirty="0">
              <a:solidFill>
                <a:prstClr val="black"/>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777777777777776E-2"/>
          <c:y val="0.16708333333333336"/>
          <c:w val="0.93888888888888888"/>
          <c:h val="0.671457786526684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250-4B3A-8BB6-B19DA9268F8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250-4B3A-8BB6-B19DA9268F8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250-4B3A-8BB6-B19DA9268F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dLblPos val="ct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arvutused'!$B$42:$B$44</c:f>
              <c:strCache>
                <c:ptCount val="3"/>
                <c:pt idx="0">
                  <c:v>Investeeringud​</c:v>
                </c:pt>
                <c:pt idx="1">
                  <c:v>Tööjõukulud</c:v>
                </c:pt>
                <c:pt idx="2">
                  <c:v>​Majandamiskulud​</c:v>
                </c:pt>
              </c:strCache>
            </c:strRef>
          </c:cat>
          <c:val>
            <c:numRef>
              <c:f>'Ettekande arvutused'!$C$42:$C$44</c:f>
              <c:numCache>
                <c:formatCode>#,##0</c:formatCode>
                <c:ptCount val="3"/>
                <c:pt idx="0">
                  <c:v>33454224</c:v>
                </c:pt>
                <c:pt idx="1">
                  <c:v>12305926</c:v>
                </c:pt>
                <c:pt idx="2">
                  <c:v>13020808</c:v>
                </c:pt>
              </c:numCache>
            </c:numRef>
          </c:val>
          <c:extLst>
            <c:ext xmlns:c16="http://schemas.microsoft.com/office/drawing/2014/chart" uri="{C3380CC4-5D6E-409C-BE32-E72D297353CC}">
              <c16:uniqueId val="{00000000-06DC-4BA7-8CF6-79EE0ABF23C6}"/>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753909</xdr:colOff>
      <xdr:row>0</xdr:row>
      <xdr:rowOff>39738</xdr:rowOff>
    </xdr:from>
    <xdr:to>
      <xdr:col>16</xdr:col>
      <xdr:colOff>615461</xdr:colOff>
      <xdr:row>16</xdr:row>
      <xdr:rowOff>152401</xdr:rowOff>
    </xdr:to>
    <xdr:graphicFrame macro="">
      <xdr:nvGraphicFramePr>
        <xdr:cNvPr id="2" name="Diagramm 3">
          <a:extLst>
            <a:ext uri="{FF2B5EF4-FFF2-40B4-BE49-F238E27FC236}">
              <a16:creationId xmlns:a16="http://schemas.microsoft.com/office/drawing/2014/main" id="{06F2F6D7-998E-4071-9465-28ED936D1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32</xdr:row>
      <xdr:rowOff>88900</xdr:rowOff>
    </xdr:to>
    <xdr:graphicFrame macro="">
      <xdr:nvGraphicFramePr>
        <xdr:cNvPr id="3" name="Diagramm 7">
          <a:extLst>
            <a:ext uri="{FF2B5EF4-FFF2-40B4-BE49-F238E27FC236}">
              <a16:creationId xmlns:a16="http://schemas.microsoft.com/office/drawing/2014/main" id="{CC4F59FA-F777-4488-9CBB-E1D1E8629F42}"/>
            </a:ext>
            <a:ext uri="{147F2762-F138-4A5C-976F-8EAC2B608ADB}">
              <a16:predDERef xmlns:a16="http://schemas.microsoft.com/office/drawing/2014/main" pred="{DBAA80F2-6E24-E61C-9717-1BC3ED702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164122</xdr:colOff>
      <xdr:row>69</xdr:row>
      <xdr:rowOff>0</xdr:rowOff>
    </xdr:from>
    <xdr:to>
      <xdr:col>27</xdr:col>
      <xdr:colOff>386860</xdr:colOff>
      <xdr:row>97</xdr:row>
      <xdr:rowOff>35168</xdr:rowOff>
    </xdr:to>
    <xdr:graphicFrame macro="">
      <xdr:nvGraphicFramePr>
        <xdr:cNvPr id="4" name="Diagramm 3">
          <a:extLst>
            <a:ext uri="{FF2B5EF4-FFF2-40B4-BE49-F238E27FC236}">
              <a16:creationId xmlns:a16="http://schemas.microsoft.com/office/drawing/2014/main" id="{1996D7B7-B606-4225-B60F-7525B0DF656D}"/>
            </a:ext>
            <a:ext uri="{147F2762-F138-4A5C-976F-8EAC2B608ADB}">
              <a16:predDERef xmlns:a16="http://schemas.microsoft.com/office/drawing/2014/main" pred="{5F4ED4C2-8C86-454F-3D38-8C07F277E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313765</xdr:colOff>
      <xdr:row>66</xdr:row>
      <xdr:rowOff>0</xdr:rowOff>
    </xdr:from>
    <xdr:to>
      <xdr:col>13</xdr:col>
      <xdr:colOff>457200</xdr:colOff>
      <xdr:row>80</xdr:row>
      <xdr:rowOff>164353</xdr:rowOff>
    </xdr:to>
    <xdr:graphicFrame macro="">
      <xdr:nvGraphicFramePr>
        <xdr:cNvPr id="7" name="Diagramm 6">
          <a:extLst>
            <a:ext uri="{FF2B5EF4-FFF2-40B4-BE49-F238E27FC236}">
              <a16:creationId xmlns:a16="http://schemas.microsoft.com/office/drawing/2014/main" id="{6A041F49-DD21-47F0-86B1-A7FB776409B5}"/>
            </a:ext>
            <a:ext uri="{147F2762-F138-4A5C-976F-8EAC2B608ADB}">
              <a16:predDERef xmlns:a16="http://schemas.microsoft.com/office/drawing/2014/main" pred="{0C5C436E-3F8F-A287-5820-A92134A18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291352</xdr:colOff>
      <xdr:row>81</xdr:row>
      <xdr:rowOff>17465</xdr:rowOff>
    </xdr:from>
    <xdr:to>
      <xdr:col>13</xdr:col>
      <xdr:colOff>507999</xdr:colOff>
      <xdr:row>95</xdr:row>
      <xdr:rowOff>179295</xdr:rowOff>
    </xdr:to>
    <xdr:graphicFrame macro="">
      <xdr:nvGraphicFramePr>
        <xdr:cNvPr id="8" name="Diagramm 7">
          <a:extLst>
            <a:ext uri="{FF2B5EF4-FFF2-40B4-BE49-F238E27FC236}">
              <a16:creationId xmlns:a16="http://schemas.microsoft.com/office/drawing/2014/main" id="{C3FF2A24-AEAC-45CA-AA65-240D38E444A2}"/>
            </a:ext>
            <a:ext uri="{147F2762-F138-4A5C-976F-8EAC2B608ADB}">
              <a16:predDERef xmlns:a16="http://schemas.microsoft.com/office/drawing/2014/main" pred="{C894379D-33D6-EDF2-0B10-4BE4CB915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237004</xdr:colOff>
      <xdr:row>47</xdr:row>
      <xdr:rowOff>55845</xdr:rowOff>
    </xdr:from>
    <xdr:to>
      <xdr:col>17</xdr:col>
      <xdr:colOff>412721</xdr:colOff>
      <xdr:row>62</xdr:row>
      <xdr:rowOff>143780</xdr:rowOff>
    </xdr:to>
    <xdr:graphicFrame macro="">
      <xdr:nvGraphicFramePr>
        <xdr:cNvPr id="9" name="Diagramm 72">
          <a:extLst>
            <a:ext uri="{FF2B5EF4-FFF2-40B4-BE49-F238E27FC236}">
              <a16:creationId xmlns:a16="http://schemas.microsoft.com/office/drawing/2014/main" id="{3A4A52B8-875E-4624-9125-1D042651DCB0}"/>
            </a:ext>
            <a:ext uri="{147F2762-F138-4A5C-976F-8EAC2B608ADB}">
              <a16:predDERef xmlns:a16="http://schemas.microsoft.com/office/drawing/2014/main" pred="{44F29917-E5F4-89B1-53D5-3300DF550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491324</xdr:colOff>
      <xdr:row>97</xdr:row>
      <xdr:rowOff>74875</xdr:rowOff>
    </xdr:from>
    <xdr:to>
      <xdr:col>30</xdr:col>
      <xdr:colOff>398228</xdr:colOff>
      <xdr:row>128</xdr:row>
      <xdr:rowOff>130865</xdr:rowOff>
    </xdr:to>
    <xdr:graphicFrame macro="">
      <xdr:nvGraphicFramePr>
        <xdr:cNvPr id="10" name="Diagramm 9">
          <a:extLst>
            <a:ext uri="{FF2B5EF4-FFF2-40B4-BE49-F238E27FC236}">
              <a16:creationId xmlns:a16="http://schemas.microsoft.com/office/drawing/2014/main" id="{2DD07056-5202-4261-9972-5A69167DBF5F}"/>
            </a:ext>
            <a:ext uri="{147F2762-F138-4A5C-976F-8EAC2B608ADB}">
              <a16:predDERef xmlns:a16="http://schemas.microsoft.com/office/drawing/2014/main" pred="{5F4ED4C2-8C86-454F-3D38-8C07F277E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364435</xdr:colOff>
      <xdr:row>96</xdr:row>
      <xdr:rowOff>134470</xdr:rowOff>
    </xdr:from>
    <xdr:to>
      <xdr:col>13</xdr:col>
      <xdr:colOff>470647</xdr:colOff>
      <xdr:row>111</xdr:row>
      <xdr:rowOff>9938</xdr:rowOff>
    </xdr:to>
    <xdr:graphicFrame macro="">
      <xdr:nvGraphicFramePr>
        <xdr:cNvPr id="11" name="Diagramm 10">
          <a:extLst>
            <a:ext uri="{FF2B5EF4-FFF2-40B4-BE49-F238E27FC236}">
              <a16:creationId xmlns:a16="http://schemas.microsoft.com/office/drawing/2014/main" id="{5C45551C-F851-BC6D-DE50-AAD5872C6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384314</xdr:colOff>
      <xdr:row>111</xdr:row>
      <xdr:rowOff>37353</xdr:rowOff>
    </xdr:from>
    <xdr:to>
      <xdr:col>13</xdr:col>
      <xdr:colOff>485588</xdr:colOff>
      <xdr:row>126</xdr:row>
      <xdr:rowOff>3312</xdr:rowOff>
    </xdr:to>
    <xdr:graphicFrame macro="">
      <xdr:nvGraphicFramePr>
        <xdr:cNvPr id="13" name="Diagramm 12">
          <a:extLst>
            <a:ext uri="{FF2B5EF4-FFF2-40B4-BE49-F238E27FC236}">
              <a16:creationId xmlns:a16="http://schemas.microsoft.com/office/drawing/2014/main" id="{4133D8E9-58EF-7A35-95D0-EE35BA5E4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554691</xdr:colOff>
      <xdr:row>33</xdr:row>
      <xdr:rowOff>137832</xdr:rowOff>
    </xdr:from>
    <xdr:to>
      <xdr:col>7</xdr:col>
      <xdr:colOff>577551</xdr:colOff>
      <xdr:row>45</xdr:row>
      <xdr:rowOff>686472</xdr:rowOff>
    </xdr:to>
    <xdr:graphicFrame macro="">
      <xdr:nvGraphicFramePr>
        <xdr:cNvPr id="15" name="Diagramm 14">
          <a:extLst>
            <a:ext uri="{FF2B5EF4-FFF2-40B4-BE49-F238E27FC236}">
              <a16:creationId xmlns:a16="http://schemas.microsoft.com/office/drawing/2014/main" id="{92F13D79-AB06-6D14-2C3B-9934B76F73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598170</xdr:colOff>
      <xdr:row>33</xdr:row>
      <xdr:rowOff>118109</xdr:rowOff>
    </xdr:from>
    <xdr:to>
      <xdr:col>13</xdr:col>
      <xdr:colOff>573741</xdr:colOff>
      <xdr:row>46</xdr:row>
      <xdr:rowOff>98611</xdr:rowOff>
    </xdr:to>
    <xdr:graphicFrame macro="">
      <xdr:nvGraphicFramePr>
        <xdr:cNvPr id="16" name="Diagramm 15">
          <a:extLst>
            <a:ext uri="{FF2B5EF4-FFF2-40B4-BE49-F238E27FC236}">
              <a16:creationId xmlns:a16="http://schemas.microsoft.com/office/drawing/2014/main" id="{27B120F0-B4A1-27DD-7F8F-0D92DB377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FAO\0_IT_materjalid\2_Arendustegevus\2024\RES-digip&#246;&#246;re%202024-2028\RES%20kogutavad%20vormid\Asutuste%20alusfailid\IT%20lisavajadused%202025-2028_RM_query.xlsx" TargetMode="External"/><Relationship Id="rId1" Type="http://schemas.openxmlformats.org/officeDocument/2006/relationships/externalLinkPath" Target="https://delta.fin.ee/FAO/0_IT_materjalid/2_Arendustegevus/2024/RES-digip&#246;&#246;re%202024-2028/RES%20kogutavad%20vormid/Asutuste%20alusfailid/IT%20lisavajadused%202025-2028_RM_que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 lisavajadused 2025-2028"/>
      <sheetName val="Ettekande arvutused"/>
      <sheetName val="Aire2023 täitmine"/>
      <sheetName val="Aire2024 eelarve"/>
    </sheetNames>
    <sheetDataSet>
      <sheetData sheetId="0"/>
      <sheetData sheetId="1"/>
      <sheetData sheetId="2">
        <row r="3">
          <cell r="F3">
            <v>36298395</v>
          </cell>
          <cell r="G3">
            <v>22924884.470000003</v>
          </cell>
        </row>
        <row r="22">
          <cell r="F22">
            <v>3616940.6300000004</v>
          </cell>
          <cell r="G22">
            <v>3616940.48</v>
          </cell>
        </row>
        <row r="33">
          <cell r="F33">
            <v>7631634.7400000002</v>
          </cell>
          <cell r="G33">
            <v>6175361.7400000002</v>
          </cell>
        </row>
        <row r="62">
          <cell r="F62">
            <v>26913355</v>
          </cell>
          <cell r="G62">
            <v>16848106.339999996</v>
          </cell>
        </row>
        <row r="78">
          <cell r="F78">
            <v>10302901.779999999</v>
          </cell>
          <cell r="G78">
            <v>6726037.9900000002</v>
          </cell>
        </row>
        <row r="85">
          <cell r="F85">
            <v>10330713.59</v>
          </cell>
          <cell r="G85">
            <v>9143042.3599999975</v>
          </cell>
        </row>
      </sheetData>
      <sheetData sheetId="3">
        <row r="4">
          <cell r="F4">
            <v>50243492</v>
          </cell>
        </row>
        <row r="15">
          <cell r="F15">
            <v>6304193</v>
          </cell>
        </row>
        <row r="29">
          <cell r="F29">
            <v>2233273</v>
          </cell>
        </row>
        <row r="40">
          <cell r="F40">
            <v>33454224</v>
          </cell>
        </row>
        <row r="49">
          <cell r="F49">
            <v>13020808</v>
          </cell>
        </row>
        <row r="59">
          <cell r="F59">
            <v>12305926</v>
          </cell>
        </row>
      </sheetData>
    </sheetDataSet>
  </externalBook>
</externalLink>
</file>

<file path=xl/persons/person.xml><?xml version="1.0" encoding="utf-8"?>
<personList xmlns="http://schemas.microsoft.com/office/spreadsheetml/2018/threadedcomments" xmlns:x="http://schemas.openxmlformats.org/spreadsheetml/2006/main">
  <person displayName="Kristi Müürsepp" id="{66878B19-0F5D-402F-9EF5-C47FE8E42FED}" userId="S::Kristi.Myyrsepp@fin.ee::d317d219-a279-45bd-99eb-50dc6a7b358b"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35" dT="2024-06-28T07:57:16.49" personId="{66878B19-0F5D-402F-9EF5-C47FE8E42FED}" id="{C859FEF7-2CFA-4304-B757-1C34FEF29730}">
    <text>Vastavalt hankele ja prognoositavale väljamaksele lükkub enamus investeeringute eelarvest 2025.aastasse.</text>
  </threadedComment>
  <threadedComment ref="AA36" dT="2024-06-28T07:08:11.24" personId="{66878B19-0F5D-402F-9EF5-C47FE8E42FED}" id="{80775F63-7DAC-4E87-AD8E-B48108134FDC}">
    <text>Osa tegevusi lükkus 2023.a 2024.aastasse</text>
  </threadedComment>
  <threadedComment ref="AC38" dT="2024-06-20T07:48:17.88" personId="{66878B19-0F5D-402F-9EF5-C47FE8E42FED}" id="{7CFDBDEB-59D6-4052-85F1-E3E8DB97DDEB}">
    <text>Vastavalt hankes tehtud hinnapakkumusele vähendasime 2024.a väljamakset ja suurendasime 2025.a eelarvet.</text>
  </threadedComment>
  <threadedComment ref="AC39" dT="2024-04-24T14:39:27.40" personId="{66878B19-0F5D-402F-9EF5-C47FE8E42FED}" id="{BA613397-725D-48DD-9760-7B2CB4C8D801}">
    <text>Väljamakse tehakse 2024.a. Enne olid vahendid planeeritud 50 tuhande eurot ulatuses 2023.a.</text>
  </threadedComment>
</ThreadedComments>
</file>

<file path=xl/threadedComments/threadedComment2.xml><?xml version="1.0" encoding="utf-8"?>
<ThreadedComments xmlns="http://schemas.microsoft.com/office/spreadsheetml/2018/threadedcomments" xmlns:x="http://schemas.openxmlformats.org/spreadsheetml/2006/main">
  <threadedComment ref="B10" dT="2024-04-16T06:23:10.15" personId="{66878B19-0F5D-402F-9EF5-C47FE8E42FED}" id="{EBE4E929-34B9-4ABF-98E4-85EA6558C365}">
    <text>Testimise roll on asendatud süsteemianalüüsi rolliga enne oli palk 55 521 eur uus palk arvestatud 69900</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4-04-19T10:28:55.48" personId="{66878B19-0F5D-402F-9EF5-C47FE8E42FED}" id="{CB39C611-1ABF-4ECF-AF4D-B67294C29457}">
    <text>RES 2025-2028</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tabColor theme="8" tint="0.59999389629810485"/>
  </sheetPr>
  <dimension ref="A1:CG101"/>
  <sheetViews>
    <sheetView topLeftCell="C35" zoomScale="85" zoomScaleNormal="85" workbookViewId="0">
      <selection activeCell="K44" sqref="K44"/>
    </sheetView>
  </sheetViews>
  <sheetFormatPr defaultColWidth="8.7109375" defaultRowHeight="15.75" x14ac:dyDescent="0.25"/>
  <cols>
    <col min="1" max="1" width="21.28515625" style="439" customWidth="1"/>
    <col min="2" max="2" width="19.5703125" style="439" customWidth="1"/>
    <col min="3" max="3" width="13.7109375" style="439" customWidth="1"/>
    <col min="4" max="4" width="14.28515625" style="439" customWidth="1"/>
    <col min="5" max="5" width="16.7109375" style="439" customWidth="1"/>
    <col min="6" max="6" width="18.5703125" style="439" customWidth="1"/>
    <col min="7" max="7" width="14.28515625" style="439" customWidth="1"/>
    <col min="8" max="8" width="12.7109375" style="439" customWidth="1"/>
    <col min="9" max="9" width="20.28515625" style="439" customWidth="1"/>
    <col min="10" max="10" width="32.28515625" style="438" customWidth="1"/>
    <col min="11" max="11" width="42" style="439" customWidth="1"/>
    <col min="12" max="12" width="10.28515625" style="439" customWidth="1"/>
    <col min="13" max="13" width="15.42578125" style="439" customWidth="1"/>
    <col min="14" max="14" width="14.28515625" style="656" customWidth="1"/>
    <col min="15" max="15" width="12.28515625" style="439" customWidth="1"/>
    <col min="16" max="16" width="14.28515625" style="439" customWidth="1"/>
    <col min="17" max="17" width="14.7109375" style="656" customWidth="1"/>
    <col min="18" max="18" width="16.7109375" style="738" customWidth="1"/>
    <col min="19" max="23" width="13.28515625" style="738" customWidth="1"/>
    <col min="24" max="27" width="10.28515625" style="738" customWidth="1"/>
    <col min="28" max="28" width="10.7109375" style="738" customWidth="1"/>
    <col min="29" max="29" width="11.28515625" style="738" customWidth="1"/>
    <col min="30" max="30" width="12.42578125" style="738" customWidth="1"/>
    <col min="31" max="31" width="11.42578125" style="738" customWidth="1"/>
    <col min="32" max="32" width="11.28515625" style="738" customWidth="1"/>
    <col min="33" max="33" width="11.7109375" style="738" customWidth="1"/>
    <col min="34" max="34" width="13" style="738" customWidth="1"/>
    <col min="35" max="35" width="11.7109375" style="738" customWidth="1"/>
    <col min="36" max="36" width="11.42578125" style="738" customWidth="1"/>
    <col min="37" max="37" width="12.28515625" style="738" customWidth="1"/>
    <col min="38" max="38" width="11.7109375" style="738" customWidth="1"/>
    <col min="39" max="39" width="12.28515625" style="738" customWidth="1"/>
    <col min="40" max="40" width="14.28515625" style="738" customWidth="1"/>
    <col min="41" max="41" width="12.28515625" style="738" customWidth="1"/>
    <col min="42" max="42" width="40.28515625" style="439" customWidth="1"/>
    <col min="43" max="43" width="31.28515625" style="439" customWidth="1"/>
    <col min="44" max="44" width="36.28515625" style="632" customWidth="1"/>
    <col min="45" max="45" width="27.5703125" style="439" customWidth="1"/>
    <col min="46" max="46" width="25.5703125" style="439" customWidth="1"/>
    <col min="47" max="16384" width="8.7109375" style="439"/>
  </cols>
  <sheetData>
    <row r="1" spans="1:44" x14ac:dyDescent="0.25">
      <c r="A1" s="433" t="s">
        <v>0</v>
      </c>
      <c r="B1" s="434"/>
      <c r="C1" s="435"/>
      <c r="D1" s="435"/>
      <c r="E1" s="435"/>
      <c r="F1" s="436"/>
      <c r="G1" s="435"/>
      <c r="H1" s="437"/>
      <c r="I1" s="436"/>
    </row>
    <row r="2" spans="1:44" ht="30.75" customHeight="1" x14ac:dyDescent="0.25">
      <c r="A2" s="440" t="s">
        <v>1</v>
      </c>
      <c r="B2" s="897" t="s">
        <v>2</v>
      </c>
      <c r="C2" s="898"/>
      <c r="D2" s="898"/>
      <c r="E2" s="899"/>
      <c r="F2" s="436"/>
      <c r="G2" s="897" t="s">
        <v>3</v>
      </c>
      <c r="H2" s="898"/>
      <c r="I2" s="898"/>
      <c r="J2" s="898"/>
      <c r="K2" s="899"/>
      <c r="L2" s="817"/>
    </row>
    <row r="3" spans="1:44" ht="110.25" x14ac:dyDescent="0.25">
      <c r="A3" s="441" t="s">
        <v>4</v>
      </c>
      <c r="B3" s="442" t="s">
        <v>5</v>
      </c>
      <c r="C3" s="443">
        <v>2023</v>
      </c>
      <c r="D3" s="443">
        <v>2024</v>
      </c>
      <c r="E3" s="443">
        <v>2025</v>
      </c>
      <c r="F3" s="436"/>
      <c r="G3" s="433" t="s">
        <v>6</v>
      </c>
      <c r="H3" s="444" t="s">
        <v>7</v>
      </c>
      <c r="I3" s="445" t="s">
        <v>8</v>
      </c>
      <c r="J3" s="444" t="s">
        <v>9</v>
      </c>
      <c r="K3" s="444" t="s">
        <v>10</v>
      </c>
      <c r="L3" s="818"/>
      <c r="M3" s="436"/>
    </row>
    <row r="4" spans="1:44" x14ac:dyDescent="0.25">
      <c r="A4" s="446" t="s">
        <v>11</v>
      </c>
      <c r="B4" s="447">
        <f>SUM(C4:E4)</f>
        <v>4588718</v>
      </c>
      <c r="C4" s="447">
        <f>SUM(C5+C12)</f>
        <v>336590</v>
      </c>
      <c r="D4" s="447">
        <f>SUM(D5+D12)</f>
        <v>1259011</v>
      </c>
      <c r="E4" s="447">
        <f>SUM(E5+E12)</f>
        <v>2993117</v>
      </c>
      <c r="F4" s="436"/>
      <c r="G4" s="447">
        <f>SUM(H4:K4)</f>
        <v>14729880.935695855</v>
      </c>
      <c r="H4" s="448">
        <f>SUMIFS(Q35:Q58,G35:G58,$G$61)</f>
        <v>12492642.935695855</v>
      </c>
      <c r="I4" s="449">
        <f>SUMIFS(Q35:Q58,G35:G58,$G$62)</f>
        <v>1834105</v>
      </c>
      <c r="J4" s="449">
        <f>SUMIFS(Q35:Q58,G35:G58,$G$63)</f>
        <v>0</v>
      </c>
      <c r="K4" s="449">
        <f>SUMIFS(Q35:Q58,G35:G58,$G$64)</f>
        <v>403133</v>
      </c>
      <c r="L4" s="521"/>
      <c r="M4" s="436"/>
      <c r="N4" s="657"/>
    </row>
    <row r="5" spans="1:44" x14ac:dyDescent="0.25">
      <c r="A5" s="446" t="s">
        <v>12</v>
      </c>
      <c r="B5" s="447">
        <f>SUM(C5:E5)</f>
        <v>790000</v>
      </c>
      <c r="C5" s="447">
        <f>SUM(C6:C11)</f>
        <v>130000</v>
      </c>
      <c r="D5" s="447">
        <f>SUM(D6:D11)</f>
        <v>130000</v>
      </c>
      <c r="E5" s="447">
        <f>SUM(E6:E11)</f>
        <v>530000</v>
      </c>
      <c r="F5" s="436"/>
      <c r="G5" s="436"/>
      <c r="J5" s="436"/>
      <c r="K5" s="450"/>
      <c r="L5" s="450"/>
    </row>
    <row r="6" spans="1:44" x14ac:dyDescent="0.25">
      <c r="A6" s="451" t="s">
        <v>13</v>
      </c>
      <c r="B6" s="452">
        <f>SUM(C6:E6)</f>
        <v>790000</v>
      </c>
      <c r="C6" s="453">
        <f>SUMIFS(R35:R58,P35:P58,"Baaseelarve")</f>
        <v>130000</v>
      </c>
      <c r="D6" s="453">
        <f>SUMIFS(S35:S58,P35:P58,"Baaseelarve")</f>
        <v>130000</v>
      </c>
      <c r="E6" s="453">
        <f>SUMIFS(T35:T58,P35:P58,"Baaseelarve")</f>
        <v>530000</v>
      </c>
      <c r="F6" s="454"/>
      <c r="G6" s="436"/>
      <c r="H6" s="436"/>
      <c r="I6" s="436"/>
      <c r="J6" s="436"/>
      <c r="K6" s="450"/>
      <c r="L6" s="450"/>
    </row>
    <row r="7" spans="1:44" x14ac:dyDescent="0.25">
      <c r="A7" s="451" t="s">
        <v>14</v>
      </c>
      <c r="B7" s="452">
        <f>SUM(C7:E7)</f>
        <v>0</v>
      </c>
      <c r="C7" s="453">
        <f>SUMIFS(R35:R58,P35:P58,"Muu rahastus")</f>
        <v>0</v>
      </c>
      <c r="D7" s="453">
        <f>SUMIFS(S35:S58,P35:P58,"Muu rahastus")</f>
        <v>0</v>
      </c>
      <c r="E7" s="453">
        <f>SUMIFS(T35:T58,P35:P58,"Muu rahastus")</f>
        <v>0</v>
      </c>
      <c r="F7" s="454"/>
      <c r="G7" s="436"/>
      <c r="H7" s="436"/>
      <c r="I7" s="436"/>
      <c r="J7" s="436"/>
      <c r="K7" s="450"/>
      <c r="L7" s="450"/>
    </row>
    <row r="8" spans="1:44" x14ac:dyDescent="0.25">
      <c r="A8" s="451" t="s">
        <v>15</v>
      </c>
      <c r="B8" s="452">
        <f>SUM(C8:E8)</f>
        <v>0</v>
      </c>
      <c r="C8" s="453">
        <f>SUMIFS(R35:R58,P35:P58,"Reserv (SR)")</f>
        <v>0</v>
      </c>
      <c r="D8" s="453">
        <f>SUMIFS(S35:S58,P35:P58,"Reserv (SR)")</f>
        <v>0</v>
      </c>
      <c r="E8" s="453">
        <f>SUMIFS(T35:T58,P35:P58,"Reserv (SR)")</f>
        <v>0</v>
      </c>
      <c r="F8" s="454"/>
      <c r="G8" s="436"/>
      <c r="H8" s="436"/>
      <c r="I8" s="436"/>
      <c r="J8" s="436"/>
      <c r="K8" s="450"/>
      <c r="L8" s="450"/>
    </row>
    <row r="9" spans="1:44" hidden="1" x14ac:dyDescent="0.25">
      <c r="A9" s="451" t="s">
        <v>16</v>
      </c>
      <c r="B9" s="452">
        <f t="shared" ref="B9" si="0">SUM(C9:D9)</f>
        <v>0</v>
      </c>
      <c r="C9" s="453">
        <f>SUMIFS(R35:R58,P35:P58,"RRF")</f>
        <v>0</v>
      </c>
      <c r="D9" s="453">
        <f>SUMIFS(S35:S58,P35:P58,"RRF")</f>
        <v>0</v>
      </c>
      <c r="E9" s="453"/>
      <c r="F9" s="454"/>
      <c r="G9" s="436"/>
      <c r="H9" s="436"/>
      <c r="I9" s="436"/>
      <c r="J9" s="436"/>
      <c r="K9" s="450"/>
      <c r="L9" s="450"/>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R9" s="439"/>
    </row>
    <row r="10" spans="1:44" x14ac:dyDescent="0.25">
      <c r="A10" s="451" t="s">
        <v>17</v>
      </c>
      <c r="B10" s="452">
        <f>SUM(C10:E10)</f>
        <v>0</v>
      </c>
      <c r="C10" s="453">
        <f>SUMIFS(R35:R58,P35:P58,"SF 14-20 (töös olev projekt)")</f>
        <v>0</v>
      </c>
      <c r="D10" s="453">
        <f>SUMIFS(S35:S58,P35:P58,"SF 14-20 (töös olev projekt)")</f>
        <v>0</v>
      </c>
      <c r="E10" s="453">
        <f>SUMIFS(T35:T58,P35:P58,"SF 14-20 (töös olev projekt)")</f>
        <v>0</v>
      </c>
      <c r="F10" s="454"/>
      <c r="G10" s="436"/>
      <c r="H10" s="436"/>
      <c r="I10" s="436"/>
      <c r="J10" s="436"/>
      <c r="K10" s="450"/>
      <c r="L10" s="450"/>
    </row>
    <row r="11" spans="1:44" x14ac:dyDescent="0.25">
      <c r="A11" s="451" t="s">
        <v>18</v>
      </c>
      <c r="B11" s="452">
        <f>SUM(C11:E11)</f>
        <v>0</v>
      </c>
      <c r="C11" s="453">
        <f>SUMIFS(R35:R58,P35:P58,"RRF")</f>
        <v>0</v>
      </c>
      <c r="D11" s="453">
        <f>SUMIFS(S35:S58,P35:P58,"RRF")</f>
        <v>0</v>
      </c>
      <c r="E11" s="453">
        <f>SUMIFS(T35:T58,P35:P58,"RRF")</f>
        <v>0</v>
      </c>
      <c r="F11" s="454"/>
      <c r="G11" s="436"/>
      <c r="H11" s="436"/>
      <c r="I11" s="436"/>
      <c r="J11" s="436"/>
      <c r="K11" s="450"/>
      <c r="L11" s="450"/>
    </row>
    <row r="12" spans="1:44" x14ac:dyDescent="0.25">
      <c r="A12" s="446" t="s">
        <v>19</v>
      </c>
      <c r="B12" s="447">
        <f>SUM(C12:E12)</f>
        <v>3798718</v>
      </c>
      <c r="C12" s="447">
        <f>SUM(C13:C14)</f>
        <v>206590</v>
      </c>
      <c r="D12" s="447">
        <f>SUM(D13:D14)</f>
        <v>1129011</v>
      </c>
      <c r="E12" s="447">
        <f>SUM(E13:E14)</f>
        <v>2463117</v>
      </c>
      <c r="F12" s="454"/>
      <c r="G12" s="436"/>
      <c r="H12" s="436"/>
      <c r="I12" s="436"/>
      <c r="J12" s="436"/>
      <c r="K12" s="450"/>
      <c r="L12" s="450"/>
    </row>
    <row r="13" spans="1:44" x14ac:dyDescent="0.25">
      <c r="A13" s="451" t="s">
        <v>20</v>
      </c>
      <c r="B13" s="452">
        <f>SUM(C13:E13)</f>
        <v>0</v>
      </c>
      <c r="C13" s="453">
        <f>SUMIFS(R35:R58,P35:P58,"RES IKT (vaja juurde taotleda)")</f>
        <v>0</v>
      </c>
      <c r="D13" s="453">
        <f>SUMIFS(S35:S58,P35:P58,"RES IKT (vaja juurde taotleda)")</f>
        <v>0</v>
      </c>
      <c r="E13" s="453">
        <f>SUMIFS(T35:T58,P35:P58,"RES IKT (vaja juurde taotleda)")</f>
        <v>0</v>
      </c>
      <c r="F13" s="454"/>
      <c r="G13" s="436"/>
      <c r="H13" s="436"/>
      <c r="I13" s="436"/>
      <c r="J13" s="436"/>
      <c r="K13" s="450"/>
      <c r="L13" s="450"/>
    </row>
    <row r="14" spans="1:44" x14ac:dyDescent="0.25">
      <c r="A14" s="451" t="s">
        <v>21</v>
      </c>
      <c r="B14" s="452">
        <f>SUM(C14:E14)</f>
        <v>3798718</v>
      </c>
      <c r="C14" s="453">
        <f>SUMIFS(R35:R58,P35:P58,"SF 21-27 (taotletav raha)")</f>
        <v>206590</v>
      </c>
      <c r="D14" s="453">
        <f>SUMIFS(S35:S58,P35:P58,"SF 21-27 (taotletav raha)")</f>
        <v>1129011</v>
      </c>
      <c r="E14" s="453">
        <f>SUMIFS(T35:T58,P35:P58,"SF 21-27 (taotletav raha)")</f>
        <v>2463117</v>
      </c>
      <c r="F14" s="454" t="s">
        <v>22</v>
      </c>
      <c r="G14" s="436"/>
      <c r="H14" s="436"/>
      <c r="I14" s="436"/>
      <c r="J14" s="436"/>
      <c r="K14" s="450"/>
      <c r="L14" s="450"/>
    </row>
    <row r="15" spans="1:44" x14ac:dyDescent="0.25">
      <c r="A15" s="455"/>
      <c r="B15" s="455"/>
      <c r="C15" s="455"/>
      <c r="D15" s="455"/>
      <c r="E15" s="455"/>
      <c r="F15" s="455"/>
      <c r="G15" s="455"/>
      <c r="H15" s="455"/>
      <c r="I15" s="455"/>
    </row>
    <row r="16" spans="1:44" ht="16.5" thickBot="1" x14ac:dyDescent="0.3">
      <c r="A16" s="454" t="s">
        <v>23</v>
      </c>
      <c r="B16" s="455"/>
      <c r="C16" s="455"/>
      <c r="D16" s="455"/>
      <c r="E16" s="455"/>
      <c r="F16" s="455"/>
      <c r="G16" s="455"/>
      <c r="H16" s="455"/>
      <c r="I16" s="455"/>
    </row>
    <row r="17" spans="1:45" ht="29.1" customHeight="1" x14ac:dyDescent="0.25">
      <c r="A17" s="456" t="s">
        <v>24</v>
      </c>
      <c r="B17" s="880" t="s">
        <v>25</v>
      </c>
      <c r="C17" s="881"/>
      <c r="D17" s="881"/>
      <c r="E17" s="881"/>
      <c r="F17" s="881"/>
      <c r="G17" s="881"/>
      <c r="H17" s="881"/>
      <c r="I17" s="881"/>
      <c r="J17" s="456" t="s">
        <v>26</v>
      </c>
      <c r="K17" s="886" t="s">
        <v>27</v>
      </c>
      <c r="L17" s="887"/>
      <c r="M17" s="888"/>
      <c r="N17" s="888"/>
      <c r="O17" s="888"/>
      <c r="P17" s="888"/>
      <c r="Q17" s="889"/>
      <c r="R17" s="879"/>
    </row>
    <row r="18" spans="1:45" ht="31.5" x14ac:dyDescent="0.25">
      <c r="A18" s="457" t="s">
        <v>28</v>
      </c>
      <c r="B18" s="458" t="s">
        <v>29</v>
      </c>
      <c r="C18" s="459" t="s">
        <v>30</v>
      </c>
      <c r="D18" s="459" t="s">
        <v>31</v>
      </c>
      <c r="E18" s="459" t="s">
        <v>32</v>
      </c>
      <c r="F18" s="459" t="s">
        <v>33</v>
      </c>
      <c r="G18" s="459" t="s">
        <v>34</v>
      </c>
      <c r="H18" s="459" t="s">
        <v>35</v>
      </c>
      <c r="I18" s="460" t="s">
        <v>36</v>
      </c>
      <c r="J18" s="461"/>
      <c r="K18" s="438"/>
      <c r="L18" s="438"/>
      <c r="R18" s="739"/>
    </row>
    <row r="19" spans="1:45" ht="16.5" thickBot="1" x14ac:dyDescent="0.3">
      <c r="A19" s="462" t="s">
        <v>37</v>
      </c>
      <c r="B19" s="463">
        <v>0</v>
      </c>
      <c r="C19" s="464"/>
      <c r="D19" s="464">
        <v>1500</v>
      </c>
      <c r="E19" s="464">
        <v>1500</v>
      </c>
      <c r="F19" s="464">
        <v>1500</v>
      </c>
      <c r="G19" s="464"/>
      <c r="H19" s="464"/>
      <c r="I19" s="464">
        <v>1500</v>
      </c>
      <c r="J19" s="557" t="s">
        <v>38</v>
      </c>
      <c r="K19" s="903" t="s">
        <v>39</v>
      </c>
      <c r="L19" s="904"/>
      <c r="M19" s="905"/>
      <c r="N19" s="905"/>
      <c r="O19" s="905"/>
      <c r="P19" s="905"/>
      <c r="Q19" s="906"/>
      <c r="R19" s="907"/>
    </row>
    <row r="20" spans="1:45" ht="29.1" customHeight="1" x14ac:dyDescent="0.25">
      <c r="A20" s="456" t="s">
        <v>40</v>
      </c>
      <c r="B20" s="882" t="s">
        <v>41</v>
      </c>
      <c r="C20" s="883"/>
      <c r="D20" s="883"/>
      <c r="E20" s="883"/>
      <c r="F20" s="883"/>
      <c r="G20" s="883"/>
      <c r="H20" s="883"/>
      <c r="I20" s="884"/>
      <c r="J20" s="467"/>
      <c r="K20" s="886" t="s">
        <v>42</v>
      </c>
      <c r="L20" s="887"/>
      <c r="M20" s="888"/>
      <c r="N20" s="888"/>
      <c r="O20" s="888"/>
      <c r="P20" s="888"/>
      <c r="Q20" s="889"/>
      <c r="R20" s="879"/>
    </row>
    <row r="21" spans="1:45" ht="31.5" x14ac:dyDescent="0.25">
      <c r="A21" s="457" t="s">
        <v>28</v>
      </c>
      <c r="B21" s="458" t="s">
        <v>29</v>
      </c>
      <c r="C21" s="459" t="s">
        <v>30</v>
      </c>
      <c r="D21" s="459" t="s">
        <v>31</v>
      </c>
      <c r="E21" s="459" t="s">
        <v>32</v>
      </c>
      <c r="F21" s="459" t="s">
        <v>33</v>
      </c>
      <c r="G21" s="459" t="s">
        <v>34</v>
      </c>
      <c r="H21" s="459" t="s">
        <v>35</v>
      </c>
      <c r="I21" s="460" t="s">
        <v>36</v>
      </c>
      <c r="J21" s="461"/>
      <c r="K21" s="438"/>
      <c r="L21" s="438"/>
      <c r="R21" s="739"/>
    </row>
    <row r="22" spans="1:45" ht="48" customHeight="1" thickBot="1" x14ac:dyDescent="0.3">
      <c r="A22" s="462" t="s">
        <v>37</v>
      </c>
      <c r="B22" s="463">
        <v>0</v>
      </c>
      <c r="C22" s="464">
        <v>0</v>
      </c>
      <c r="D22" s="464">
        <v>3</v>
      </c>
      <c r="E22" s="464">
        <v>3</v>
      </c>
      <c r="F22" s="464"/>
      <c r="G22" s="464"/>
      <c r="H22" s="464"/>
      <c r="I22" s="662">
        <v>3</v>
      </c>
      <c r="J22" s="661" t="s">
        <v>43</v>
      </c>
      <c r="K22" s="903" t="s">
        <v>44</v>
      </c>
      <c r="L22" s="904"/>
      <c r="M22" s="905"/>
      <c r="N22" s="905"/>
      <c r="O22" s="905"/>
      <c r="P22" s="905"/>
      <c r="Q22" s="906"/>
      <c r="R22" s="907"/>
    </row>
    <row r="23" spans="1:45" ht="29.1" customHeight="1" x14ac:dyDescent="0.25">
      <c r="A23" s="456" t="s">
        <v>40</v>
      </c>
      <c r="B23" s="882" t="s">
        <v>45</v>
      </c>
      <c r="C23" s="883"/>
      <c r="D23" s="883"/>
      <c r="E23" s="883"/>
      <c r="F23" s="883"/>
      <c r="G23" s="883"/>
      <c r="H23" s="883"/>
      <c r="I23" s="885"/>
      <c r="J23" s="467"/>
      <c r="K23" s="886" t="s">
        <v>46</v>
      </c>
      <c r="L23" s="887"/>
      <c r="M23" s="888"/>
      <c r="N23" s="888"/>
      <c r="O23" s="888"/>
      <c r="P23" s="888"/>
      <c r="Q23" s="889"/>
      <c r="R23" s="879"/>
    </row>
    <row r="24" spans="1:45" ht="42.6" customHeight="1" x14ac:dyDescent="0.25">
      <c r="A24" s="457" t="s">
        <v>28</v>
      </c>
      <c r="B24" s="458" t="s">
        <v>29</v>
      </c>
      <c r="C24" s="459" t="s">
        <v>30</v>
      </c>
      <c r="D24" s="459" t="s">
        <v>31</v>
      </c>
      <c r="E24" s="459" t="s">
        <v>32</v>
      </c>
      <c r="F24" s="459" t="s">
        <v>33</v>
      </c>
      <c r="G24" s="459" t="s">
        <v>34</v>
      </c>
      <c r="H24" s="459" t="s">
        <v>35</v>
      </c>
      <c r="I24" s="460" t="s">
        <v>36</v>
      </c>
      <c r="J24" s="461"/>
      <c r="K24" s="438"/>
      <c r="L24" s="438"/>
      <c r="R24" s="739"/>
    </row>
    <row r="25" spans="1:45" ht="16.5" thickBot="1" x14ac:dyDescent="0.3">
      <c r="A25" s="462" t="s">
        <v>37</v>
      </c>
      <c r="B25" s="463">
        <v>0</v>
      </c>
      <c r="C25" s="464">
        <v>5</v>
      </c>
      <c r="D25" s="464">
        <v>5</v>
      </c>
      <c r="E25" s="464"/>
      <c r="F25" s="464"/>
      <c r="G25" s="464"/>
      <c r="H25" s="464"/>
      <c r="I25" s="465"/>
      <c r="J25" s="466" t="s">
        <v>26</v>
      </c>
      <c r="K25" s="903" t="s">
        <v>47</v>
      </c>
      <c r="L25" s="904"/>
      <c r="M25" s="905"/>
      <c r="N25" s="905"/>
      <c r="O25" s="905"/>
      <c r="P25" s="905"/>
      <c r="Q25" s="906"/>
      <c r="R25" s="907"/>
    </row>
    <row r="26" spans="1:45" ht="78.75" x14ac:dyDescent="0.25">
      <c r="A26" s="456" t="s">
        <v>48</v>
      </c>
      <c r="B26" s="882" t="s">
        <v>49</v>
      </c>
      <c r="C26" s="883"/>
      <c r="D26" s="883"/>
      <c r="E26" s="883"/>
      <c r="F26" s="883"/>
      <c r="G26" s="883"/>
      <c r="H26" s="883"/>
      <c r="I26" s="884"/>
      <c r="J26" s="467"/>
      <c r="K26" s="886" t="s">
        <v>50</v>
      </c>
      <c r="L26" s="887"/>
      <c r="M26" s="888"/>
      <c r="N26" s="888"/>
      <c r="O26" s="888"/>
      <c r="P26" s="888"/>
      <c r="Q26" s="889"/>
      <c r="R26" s="879"/>
    </row>
    <row r="27" spans="1:45" ht="14.65" customHeight="1" x14ac:dyDescent="0.25">
      <c r="A27" s="457" t="s">
        <v>28</v>
      </c>
      <c r="B27" s="458" t="s">
        <v>29</v>
      </c>
      <c r="C27" s="459" t="s">
        <v>30</v>
      </c>
      <c r="D27" s="459" t="s">
        <v>31</v>
      </c>
      <c r="E27" s="459" t="s">
        <v>32</v>
      </c>
      <c r="F27" s="459" t="s">
        <v>33</v>
      </c>
      <c r="G27" s="459" t="s">
        <v>34</v>
      </c>
      <c r="H27" s="459" t="s">
        <v>35</v>
      </c>
      <c r="I27" s="460" t="s">
        <v>36</v>
      </c>
      <c r="J27" s="461"/>
      <c r="K27" s="438"/>
      <c r="L27" s="438"/>
      <c r="R27" s="739"/>
    </row>
    <row r="28" spans="1:45" ht="48" thickBot="1" x14ac:dyDescent="0.3">
      <c r="A28" s="462" t="s">
        <v>37</v>
      </c>
      <c r="B28" s="463">
        <v>84</v>
      </c>
      <c r="C28" s="464"/>
      <c r="D28" s="464"/>
      <c r="E28" s="464"/>
      <c r="F28" s="464">
        <v>85</v>
      </c>
      <c r="G28" s="464"/>
      <c r="H28" s="464"/>
      <c r="I28" s="465">
        <v>90</v>
      </c>
      <c r="J28" s="654" t="s">
        <v>51</v>
      </c>
      <c r="K28" s="903" t="s">
        <v>52</v>
      </c>
      <c r="L28" s="904"/>
      <c r="M28" s="905"/>
      <c r="N28" s="905"/>
      <c r="O28" s="905"/>
      <c r="P28" s="905"/>
      <c r="Q28" s="906"/>
      <c r="R28" s="907"/>
      <c r="AD28" s="740"/>
      <c r="AE28" s="740"/>
      <c r="AF28" s="740"/>
      <c r="AG28" s="740"/>
    </row>
    <row r="29" spans="1:45" x14ac:dyDescent="0.25">
      <c r="A29" s="438"/>
      <c r="B29" s="438"/>
    </row>
    <row r="30" spans="1:45" x14ac:dyDescent="0.25">
      <c r="AD30" s="740"/>
      <c r="AE30" s="740"/>
    </row>
    <row r="31" spans="1:45" ht="16.5" thickBot="1" x14ac:dyDescent="0.3">
      <c r="C31" s="468"/>
      <c r="D31" s="468"/>
    </row>
    <row r="32" spans="1:45" ht="16.5" thickBot="1" x14ac:dyDescent="0.3">
      <c r="C32" s="468"/>
      <c r="D32" s="468"/>
      <c r="X32" s="876" t="s">
        <v>53</v>
      </c>
      <c r="Y32" s="877"/>
      <c r="Z32" s="877"/>
      <c r="AA32" s="877"/>
      <c r="AB32" s="877"/>
      <c r="AC32" s="877"/>
      <c r="AD32" s="877"/>
      <c r="AE32" s="877"/>
      <c r="AF32" s="877"/>
      <c r="AG32" s="877"/>
      <c r="AH32" s="877"/>
      <c r="AI32" s="877"/>
      <c r="AJ32" s="877"/>
      <c r="AK32" s="877"/>
      <c r="AL32" s="877"/>
      <c r="AM32" s="878"/>
      <c r="AN32" s="878"/>
      <c r="AO32" s="879"/>
      <c r="AS32" s="469"/>
    </row>
    <row r="33" spans="1:85" ht="79.5" thickBot="1" x14ac:dyDescent="0.3">
      <c r="A33" s="470" t="s">
        <v>54</v>
      </c>
      <c r="B33" s="471" t="s">
        <v>55</v>
      </c>
      <c r="C33" s="471" t="s">
        <v>56</v>
      </c>
      <c r="D33" s="471" t="s">
        <v>57</v>
      </c>
      <c r="E33" s="471" t="s">
        <v>58</v>
      </c>
      <c r="F33" s="471" t="s">
        <v>59</v>
      </c>
      <c r="G33" s="471" t="s">
        <v>60</v>
      </c>
      <c r="H33" s="471" t="s">
        <v>61</v>
      </c>
      <c r="I33" s="471" t="s">
        <v>62</v>
      </c>
      <c r="J33" s="471" t="s">
        <v>63</v>
      </c>
      <c r="K33" s="472" t="s">
        <v>64</v>
      </c>
      <c r="L33" s="819" t="s">
        <v>65</v>
      </c>
      <c r="M33" s="473" t="s">
        <v>66</v>
      </c>
      <c r="N33" s="471" t="s">
        <v>67</v>
      </c>
      <c r="O33" s="471" t="s">
        <v>68</v>
      </c>
      <c r="P33" s="471" t="s">
        <v>69</v>
      </c>
      <c r="Q33" s="474" t="s">
        <v>70</v>
      </c>
      <c r="R33" s="741">
        <v>2023</v>
      </c>
      <c r="S33" s="742">
        <v>2024</v>
      </c>
      <c r="T33" s="742">
        <v>2025</v>
      </c>
      <c r="U33" s="742">
        <v>2026</v>
      </c>
      <c r="V33" s="742">
        <v>2027</v>
      </c>
      <c r="W33" s="743">
        <v>2028</v>
      </c>
      <c r="X33" s="893" t="s">
        <v>71</v>
      </c>
      <c r="Y33" s="894"/>
      <c r="Z33" s="895"/>
      <c r="AA33" s="896">
        <v>2024</v>
      </c>
      <c r="AB33" s="894"/>
      <c r="AC33" s="895"/>
      <c r="AD33" s="896">
        <v>2025</v>
      </c>
      <c r="AE33" s="894"/>
      <c r="AF33" s="895"/>
      <c r="AG33" s="896">
        <v>2026</v>
      </c>
      <c r="AH33" s="894"/>
      <c r="AI33" s="895"/>
      <c r="AJ33" s="896">
        <v>2027</v>
      </c>
      <c r="AK33" s="894"/>
      <c r="AL33" s="894"/>
      <c r="AM33" s="890">
        <v>2028</v>
      </c>
      <c r="AN33" s="891"/>
      <c r="AO33" s="892"/>
      <c r="AP33" s="475" t="s">
        <v>72</v>
      </c>
      <c r="AQ33" s="476" t="s">
        <v>73</v>
      </c>
      <c r="AR33" s="633" t="s">
        <v>74</v>
      </c>
      <c r="AS33" s="477" t="s">
        <v>75</v>
      </c>
      <c r="AT33" s="476" t="s">
        <v>76</v>
      </c>
    </row>
    <row r="34" spans="1:85" s="487" customFormat="1" ht="169.5" customHeight="1" x14ac:dyDescent="0.25">
      <c r="A34" s="713" t="s">
        <v>77</v>
      </c>
      <c r="B34" s="655" t="s">
        <v>78</v>
      </c>
      <c r="C34" s="655" t="s">
        <v>79</v>
      </c>
      <c r="D34" s="655" t="s">
        <v>80</v>
      </c>
      <c r="E34" s="714" t="s">
        <v>81</v>
      </c>
      <c r="F34" s="714" t="s">
        <v>81</v>
      </c>
      <c r="G34" s="714" t="s">
        <v>82</v>
      </c>
      <c r="H34" s="655" t="s">
        <v>83</v>
      </c>
      <c r="I34" s="655" t="s">
        <v>84</v>
      </c>
      <c r="J34" s="655" t="s">
        <v>85</v>
      </c>
      <c r="K34" s="655" t="s">
        <v>86</v>
      </c>
      <c r="L34" s="820" t="s">
        <v>87</v>
      </c>
      <c r="M34" s="715" t="s">
        <v>88</v>
      </c>
      <c r="N34" s="715" t="s">
        <v>89</v>
      </c>
      <c r="O34" s="716" t="s">
        <v>90</v>
      </c>
      <c r="P34" s="714" t="s">
        <v>81</v>
      </c>
      <c r="Q34" s="478"/>
      <c r="R34" s="900"/>
      <c r="S34" s="901"/>
      <c r="T34" s="901"/>
      <c r="U34" s="901"/>
      <c r="V34" s="901"/>
      <c r="W34" s="902"/>
      <c r="X34" s="479" t="s">
        <v>91</v>
      </c>
      <c r="Y34" s="480" t="s">
        <v>92</v>
      </c>
      <c r="Z34" s="481" t="s">
        <v>93</v>
      </c>
      <c r="AA34" s="675" t="s">
        <v>91</v>
      </c>
      <c r="AB34" s="676" t="s">
        <v>92</v>
      </c>
      <c r="AC34" s="677" t="s">
        <v>93</v>
      </c>
      <c r="AD34" s="680" t="s">
        <v>91</v>
      </c>
      <c r="AE34" s="676" t="s">
        <v>92</v>
      </c>
      <c r="AF34" s="681" t="s">
        <v>93</v>
      </c>
      <c r="AG34" s="479" t="s">
        <v>91</v>
      </c>
      <c r="AH34" s="480" t="s">
        <v>92</v>
      </c>
      <c r="AI34" s="481" t="s">
        <v>93</v>
      </c>
      <c r="AJ34" s="479" t="s">
        <v>91</v>
      </c>
      <c r="AK34" s="480" t="s">
        <v>92</v>
      </c>
      <c r="AL34" s="481" t="s">
        <v>93</v>
      </c>
      <c r="AM34" s="482" t="s">
        <v>91</v>
      </c>
      <c r="AN34" s="480" t="s">
        <v>92</v>
      </c>
      <c r="AO34" s="483" t="s">
        <v>93</v>
      </c>
      <c r="AP34" s="484" t="s">
        <v>94</v>
      </c>
      <c r="AQ34" s="485" t="s">
        <v>81</v>
      </c>
      <c r="AR34" s="486" t="s">
        <v>95</v>
      </c>
      <c r="AS34" s="486" t="s">
        <v>96</v>
      </c>
      <c r="AT34" s="485" t="s">
        <v>97</v>
      </c>
    </row>
    <row r="35" spans="1:85" s="487" customFormat="1" ht="34.15" customHeight="1" x14ac:dyDescent="0.25">
      <c r="A35" s="717" t="s">
        <v>521</v>
      </c>
      <c r="B35" s="718" t="s">
        <v>98</v>
      </c>
      <c r="C35" s="718" t="s">
        <v>99</v>
      </c>
      <c r="D35" s="718" t="s">
        <v>100</v>
      </c>
      <c r="E35" s="718" t="s">
        <v>101</v>
      </c>
      <c r="F35" s="718" t="s">
        <v>102</v>
      </c>
      <c r="G35" s="718" t="s">
        <v>103</v>
      </c>
      <c r="H35" s="718" t="s">
        <v>104</v>
      </c>
      <c r="I35" s="718" t="s">
        <v>522</v>
      </c>
      <c r="J35" s="719" t="s">
        <v>106</v>
      </c>
      <c r="K35" s="718" t="s">
        <v>107</v>
      </c>
      <c r="L35" s="821" t="s">
        <v>108</v>
      </c>
      <c r="M35" s="720" t="s">
        <v>109</v>
      </c>
      <c r="N35" s="720" t="s">
        <v>110</v>
      </c>
      <c r="O35" s="718" t="s">
        <v>111</v>
      </c>
      <c r="P35" s="721" t="s">
        <v>112</v>
      </c>
      <c r="Q35" s="735">
        <f t="shared" ref="Q35:Q58" si="1">SUM(R35:W35)</f>
        <v>681800</v>
      </c>
      <c r="R35" s="744">
        <f t="shared" ref="R35:R46" si="2">SUM(X35:Z35)</f>
        <v>0</v>
      </c>
      <c r="S35" s="745">
        <f t="shared" ref="S35:S46" si="3">SUM(AA35:AC35)</f>
        <v>50000</v>
      </c>
      <c r="T35" s="745">
        <f t="shared" ref="T35:T46" si="4">SUM(AD35:AF35)</f>
        <v>631800</v>
      </c>
      <c r="U35" s="745">
        <f t="shared" ref="U35:U46" si="5">SUM(AG35:AI35)</f>
        <v>0</v>
      </c>
      <c r="V35" s="745">
        <f>SUM(AJ35:AL35)</f>
        <v>0</v>
      </c>
      <c r="W35" s="746">
        <f>SUM(AM35:AO35)</f>
        <v>0</v>
      </c>
      <c r="X35" s="747"/>
      <c r="Y35" s="748"/>
      <c r="Z35" s="748"/>
      <c r="AA35" s="749">
        <v>50000</v>
      </c>
      <c r="AB35" s="750"/>
      <c r="AC35" s="751"/>
      <c r="AD35" s="836">
        <v>631800</v>
      </c>
      <c r="AE35" s="837"/>
      <c r="AF35" s="838"/>
      <c r="AG35" s="747"/>
      <c r="AH35" s="748"/>
      <c r="AI35" s="753"/>
      <c r="AJ35" s="754"/>
      <c r="AK35" s="748"/>
      <c r="AL35" s="753"/>
      <c r="AM35" s="755"/>
      <c r="AN35" s="752"/>
      <c r="AO35" s="753"/>
      <c r="AP35" s="491" t="s">
        <v>113</v>
      </c>
      <c r="AQ35" s="491" t="s">
        <v>114</v>
      </c>
      <c r="AR35" s="491" t="s">
        <v>115</v>
      </c>
      <c r="AS35" s="491"/>
      <c r="AT35" s="491"/>
    </row>
    <row r="36" spans="1:85" s="487" customFormat="1" ht="48" customHeight="1" x14ac:dyDescent="0.25">
      <c r="A36" s="488" t="s">
        <v>521</v>
      </c>
      <c r="B36" s="489" t="s">
        <v>98</v>
      </c>
      <c r="C36" s="489" t="s">
        <v>99</v>
      </c>
      <c r="D36" s="489" t="s">
        <v>116</v>
      </c>
      <c r="E36" s="489" t="s">
        <v>101</v>
      </c>
      <c r="F36" s="489" t="s">
        <v>102</v>
      </c>
      <c r="G36" s="489" t="s">
        <v>103</v>
      </c>
      <c r="H36" s="489" t="s">
        <v>117</v>
      </c>
      <c r="I36" s="489" t="s">
        <v>118</v>
      </c>
      <c r="J36" s="666" t="s">
        <v>119</v>
      </c>
      <c r="K36" s="489" t="s">
        <v>524</v>
      </c>
      <c r="L36" s="822" t="s">
        <v>120</v>
      </c>
      <c r="M36" s="634" t="s">
        <v>109</v>
      </c>
      <c r="N36" s="634" t="s">
        <v>110</v>
      </c>
      <c r="O36" s="489" t="s">
        <v>121</v>
      </c>
      <c r="P36" s="722" t="s">
        <v>112</v>
      </c>
      <c r="Q36" s="736">
        <f t="shared" si="1"/>
        <v>2888954</v>
      </c>
      <c r="R36" s="756">
        <f t="shared" si="2"/>
        <v>73590</v>
      </c>
      <c r="S36" s="757">
        <f t="shared" si="3"/>
        <v>298043</v>
      </c>
      <c r="T36" s="757">
        <f t="shared" si="4"/>
        <v>420964</v>
      </c>
      <c r="U36" s="757">
        <f t="shared" si="5"/>
        <v>664982</v>
      </c>
      <c r="V36" s="757">
        <f t="shared" ref="V36:V46" si="6">SUM(AJ36:AL36)</f>
        <v>698232</v>
      </c>
      <c r="W36" s="758">
        <f t="shared" ref="W36:W47" si="7">SUM(AM36:AO36)</f>
        <v>733143</v>
      </c>
      <c r="X36" s="763">
        <v>18590</v>
      </c>
      <c r="Y36" s="830">
        <v>55000</v>
      </c>
      <c r="Z36" s="759"/>
      <c r="AA36" s="761">
        <v>91410</v>
      </c>
      <c r="AB36" s="832">
        <v>206633</v>
      </c>
      <c r="AC36" s="760"/>
      <c r="AD36" s="839"/>
      <c r="AE36" s="832">
        <v>420964</v>
      </c>
      <c r="AF36" s="840"/>
      <c r="AG36" s="763"/>
      <c r="AH36" s="759">
        <v>664982</v>
      </c>
      <c r="AI36" s="764"/>
      <c r="AJ36" s="765"/>
      <c r="AK36" s="759">
        <v>698232</v>
      </c>
      <c r="AL36" s="764"/>
      <c r="AM36" s="766"/>
      <c r="AN36" s="762">
        <v>733143</v>
      </c>
      <c r="AO36" s="767"/>
      <c r="AP36" s="490" t="s">
        <v>122</v>
      </c>
      <c r="AQ36" s="492"/>
      <c r="AR36" s="816" t="s">
        <v>123</v>
      </c>
      <c r="AS36" s="492"/>
      <c r="AT36" s="492"/>
    </row>
    <row r="37" spans="1:85" s="487" customFormat="1" ht="34.15" customHeight="1" x14ac:dyDescent="0.25">
      <c r="A37" s="488" t="s">
        <v>521</v>
      </c>
      <c r="B37" s="489" t="s">
        <v>98</v>
      </c>
      <c r="C37" s="489" t="s">
        <v>98</v>
      </c>
      <c r="D37" s="489" t="s">
        <v>116</v>
      </c>
      <c r="E37" s="489" t="s">
        <v>101</v>
      </c>
      <c r="F37" s="489" t="s">
        <v>102</v>
      </c>
      <c r="G37" s="489" t="s">
        <v>103</v>
      </c>
      <c r="H37" s="489" t="s">
        <v>124</v>
      </c>
      <c r="I37" s="489" t="s">
        <v>125</v>
      </c>
      <c r="J37" s="667" t="s">
        <v>126</v>
      </c>
      <c r="K37" s="489" t="s">
        <v>127</v>
      </c>
      <c r="L37" s="822" t="s">
        <v>120</v>
      </c>
      <c r="M37" s="634" t="s">
        <v>109</v>
      </c>
      <c r="N37" s="634" t="s">
        <v>110</v>
      </c>
      <c r="O37" s="489" t="s">
        <v>111</v>
      </c>
      <c r="P37" s="722" t="s">
        <v>112</v>
      </c>
      <c r="Q37" s="736">
        <f t="shared" si="1"/>
        <v>341557.93569585442</v>
      </c>
      <c r="R37" s="756">
        <f t="shared" si="2"/>
        <v>8000</v>
      </c>
      <c r="S37" s="757">
        <f t="shared" si="3"/>
        <v>73000</v>
      </c>
      <c r="T37" s="757">
        <f t="shared" si="4"/>
        <v>58000</v>
      </c>
      <c r="U37" s="757">
        <f t="shared" si="5"/>
        <v>64253.112036750012</v>
      </c>
      <c r="V37" s="757">
        <f t="shared" si="6"/>
        <v>67465.767638587509</v>
      </c>
      <c r="W37" s="758">
        <f t="shared" si="7"/>
        <v>70839.056020516888</v>
      </c>
      <c r="X37" s="768"/>
      <c r="Y37" s="831">
        <v>8000</v>
      </c>
      <c r="Z37" s="769"/>
      <c r="AA37" s="770"/>
      <c r="AB37" s="778">
        <v>73000</v>
      </c>
      <c r="AC37" s="772"/>
      <c r="AD37" s="841"/>
      <c r="AE37" s="826">
        <v>58000</v>
      </c>
      <c r="AF37" s="842"/>
      <c r="AG37" s="773"/>
      <c r="AH37" s="774">
        <v>64253.112036750012</v>
      </c>
      <c r="AI37" s="775"/>
      <c r="AJ37" s="776"/>
      <c r="AK37" s="774">
        <v>67465.767638587509</v>
      </c>
      <c r="AL37" s="775"/>
      <c r="AM37" s="777"/>
      <c r="AN37" s="771">
        <v>70839.056020516888</v>
      </c>
      <c r="AO37" s="767"/>
      <c r="AP37" s="490" t="s">
        <v>128</v>
      </c>
      <c r="AQ37" s="492"/>
      <c r="AR37" s="816" t="s">
        <v>129</v>
      </c>
      <c r="AS37" s="492"/>
      <c r="AT37" s="492"/>
    </row>
    <row r="38" spans="1:85" s="487" customFormat="1" ht="34.15" customHeight="1" x14ac:dyDescent="0.25">
      <c r="A38" s="488" t="s">
        <v>521</v>
      </c>
      <c r="B38" s="489" t="s">
        <v>98</v>
      </c>
      <c r="C38" s="489" t="s">
        <v>98</v>
      </c>
      <c r="D38" s="489" t="s">
        <v>130</v>
      </c>
      <c r="E38" s="489" t="s">
        <v>131</v>
      </c>
      <c r="F38" s="489" t="s">
        <v>132</v>
      </c>
      <c r="G38" s="493" t="s">
        <v>133</v>
      </c>
      <c r="H38" s="489" t="s">
        <v>134</v>
      </c>
      <c r="I38" s="489" t="s">
        <v>135</v>
      </c>
      <c r="J38" s="667" t="s">
        <v>136</v>
      </c>
      <c r="K38" s="489" t="s">
        <v>137</v>
      </c>
      <c r="L38" s="822" t="s">
        <v>120</v>
      </c>
      <c r="M38" s="634" t="s">
        <v>109</v>
      </c>
      <c r="N38" s="634" t="s">
        <v>138</v>
      </c>
      <c r="O38" s="489" t="s">
        <v>111</v>
      </c>
      <c r="P38" s="722" t="s">
        <v>112</v>
      </c>
      <c r="Q38" s="736">
        <f t="shared" si="1"/>
        <v>310000</v>
      </c>
      <c r="R38" s="756">
        <f t="shared" si="2"/>
        <v>0</v>
      </c>
      <c r="S38" s="757">
        <f t="shared" si="3"/>
        <v>60000</v>
      </c>
      <c r="T38" s="757">
        <f t="shared" si="4"/>
        <v>250000</v>
      </c>
      <c r="U38" s="757">
        <f t="shared" si="5"/>
        <v>0</v>
      </c>
      <c r="V38" s="757">
        <f t="shared" si="6"/>
        <v>0</v>
      </c>
      <c r="W38" s="758">
        <f t="shared" si="7"/>
        <v>0</v>
      </c>
      <c r="X38" s="768"/>
      <c r="Y38" s="769"/>
      <c r="Z38" s="769"/>
      <c r="AA38" s="770"/>
      <c r="AB38" s="778"/>
      <c r="AC38" s="779">
        <v>60000</v>
      </c>
      <c r="AD38" s="841"/>
      <c r="AE38" s="778"/>
      <c r="AF38" s="842">
        <v>250000</v>
      </c>
      <c r="AG38" s="768"/>
      <c r="AH38" s="769"/>
      <c r="AI38" s="780"/>
      <c r="AJ38" s="781"/>
      <c r="AK38" s="769"/>
      <c r="AL38" s="780"/>
      <c r="AM38" s="770"/>
      <c r="AN38" s="778"/>
      <c r="AO38" s="767"/>
      <c r="AP38" s="490" t="s">
        <v>139</v>
      </c>
      <c r="AQ38" s="490"/>
      <c r="AR38" s="816" t="s">
        <v>140</v>
      </c>
      <c r="AS38" s="492"/>
      <c r="AT38" s="492"/>
    </row>
    <row r="39" spans="1:85" s="487" customFormat="1" ht="34.15" customHeight="1" x14ac:dyDescent="0.25">
      <c r="A39" s="488" t="s">
        <v>521</v>
      </c>
      <c r="B39" s="489" t="s">
        <v>141</v>
      </c>
      <c r="C39" s="489" t="s">
        <v>141</v>
      </c>
      <c r="D39" s="489" t="s">
        <v>142</v>
      </c>
      <c r="E39" s="489" t="s">
        <v>131</v>
      </c>
      <c r="F39" s="489" t="s">
        <v>132</v>
      </c>
      <c r="G39" s="493" t="s">
        <v>133</v>
      </c>
      <c r="H39" s="489" t="s">
        <v>143</v>
      </c>
      <c r="I39" s="489" t="s">
        <v>144</v>
      </c>
      <c r="J39" s="668" t="s">
        <v>145</v>
      </c>
      <c r="K39" s="489" t="s">
        <v>146</v>
      </c>
      <c r="L39" s="822" t="s">
        <v>120</v>
      </c>
      <c r="M39" s="634" t="s">
        <v>109</v>
      </c>
      <c r="N39" s="634" t="s">
        <v>138</v>
      </c>
      <c r="O39" s="489" t="s">
        <v>111</v>
      </c>
      <c r="P39" s="722" t="s">
        <v>112</v>
      </c>
      <c r="Q39" s="736">
        <f t="shared" si="1"/>
        <v>768000</v>
      </c>
      <c r="R39" s="756">
        <f t="shared" si="2"/>
        <v>0</v>
      </c>
      <c r="S39" s="757">
        <f t="shared" si="3"/>
        <v>149000</v>
      </c>
      <c r="T39" s="757">
        <f t="shared" si="4"/>
        <v>219000</v>
      </c>
      <c r="U39" s="757">
        <f t="shared" si="5"/>
        <v>200000</v>
      </c>
      <c r="V39" s="757">
        <f t="shared" si="6"/>
        <v>200000</v>
      </c>
      <c r="W39" s="758">
        <f t="shared" si="7"/>
        <v>0</v>
      </c>
      <c r="X39" s="768"/>
      <c r="Y39" s="769"/>
      <c r="Z39" s="769"/>
      <c r="AA39" s="770"/>
      <c r="AB39" s="826">
        <v>99000</v>
      </c>
      <c r="AC39" s="772">
        <v>50000</v>
      </c>
      <c r="AD39" s="841"/>
      <c r="AE39" s="826">
        <v>99000</v>
      </c>
      <c r="AF39" s="843">
        <v>120000</v>
      </c>
      <c r="AG39" s="768"/>
      <c r="AH39" s="769">
        <v>120000</v>
      </c>
      <c r="AI39" s="780">
        <v>80000</v>
      </c>
      <c r="AJ39" s="781"/>
      <c r="AK39" s="769">
        <v>120000</v>
      </c>
      <c r="AL39" s="780">
        <v>80000</v>
      </c>
      <c r="AM39" s="770"/>
      <c r="AN39" s="778"/>
      <c r="AO39" s="767"/>
      <c r="AP39" s="490" t="s">
        <v>147</v>
      </c>
      <c r="AQ39" s="490"/>
      <c r="AR39" s="816" t="s">
        <v>140</v>
      </c>
      <c r="AS39" s="492"/>
      <c r="AT39" s="492"/>
    </row>
    <row r="40" spans="1:85" s="487" customFormat="1" ht="34.15" customHeight="1" x14ac:dyDescent="0.25">
      <c r="A40" s="488" t="s">
        <v>521</v>
      </c>
      <c r="B40" s="489" t="s">
        <v>148</v>
      </c>
      <c r="C40" s="489" t="s">
        <v>148</v>
      </c>
      <c r="D40" s="489" t="s">
        <v>148</v>
      </c>
      <c r="E40" s="489" t="s">
        <v>131</v>
      </c>
      <c r="F40" s="489" t="s">
        <v>132</v>
      </c>
      <c r="G40" s="493" t="s">
        <v>133</v>
      </c>
      <c r="H40" s="489" t="s">
        <v>149</v>
      </c>
      <c r="I40" s="489" t="s">
        <v>150</v>
      </c>
      <c r="J40" s="668" t="s">
        <v>151</v>
      </c>
      <c r="K40" s="489" t="s">
        <v>152</v>
      </c>
      <c r="L40" s="822" t="s">
        <v>120</v>
      </c>
      <c r="M40" s="634" t="s">
        <v>109</v>
      </c>
      <c r="N40" s="634" t="s">
        <v>138</v>
      </c>
      <c r="O40" s="489" t="s">
        <v>111</v>
      </c>
      <c r="P40" s="722" t="s">
        <v>112</v>
      </c>
      <c r="Q40" s="736">
        <f t="shared" si="1"/>
        <v>90000</v>
      </c>
      <c r="R40" s="756">
        <f t="shared" si="2"/>
        <v>0</v>
      </c>
      <c r="S40" s="757">
        <f t="shared" si="3"/>
        <v>20000</v>
      </c>
      <c r="T40" s="757">
        <f t="shared" si="4"/>
        <v>50000</v>
      </c>
      <c r="U40" s="757">
        <f t="shared" si="5"/>
        <v>10000</v>
      </c>
      <c r="V40" s="757">
        <f t="shared" si="6"/>
        <v>10000</v>
      </c>
      <c r="W40" s="758">
        <f t="shared" si="7"/>
        <v>0</v>
      </c>
      <c r="X40" s="768"/>
      <c r="Y40" s="769"/>
      <c r="Z40" s="769"/>
      <c r="AA40" s="770"/>
      <c r="AB40" s="778"/>
      <c r="AC40" s="772">
        <v>20000</v>
      </c>
      <c r="AD40" s="841"/>
      <c r="AE40" s="778"/>
      <c r="AF40" s="843">
        <v>50000</v>
      </c>
      <c r="AG40" s="768"/>
      <c r="AH40" s="769"/>
      <c r="AI40" s="780">
        <v>10000</v>
      </c>
      <c r="AJ40" s="781"/>
      <c r="AK40" s="769"/>
      <c r="AL40" s="780">
        <v>10000</v>
      </c>
      <c r="AM40" s="770"/>
      <c r="AN40" s="778"/>
      <c r="AO40" s="767"/>
      <c r="AP40" s="490" t="s">
        <v>153</v>
      </c>
      <c r="AQ40" s="490"/>
      <c r="AR40" s="816" t="s">
        <v>140</v>
      </c>
      <c r="AS40" s="492"/>
      <c r="AT40" s="492"/>
    </row>
    <row r="41" spans="1:85" s="487" customFormat="1" ht="34.15" customHeight="1" x14ac:dyDescent="0.25">
      <c r="A41" s="488" t="s">
        <v>521</v>
      </c>
      <c r="B41" s="489" t="s">
        <v>99</v>
      </c>
      <c r="C41" s="489" t="s">
        <v>99</v>
      </c>
      <c r="D41" s="489" t="s">
        <v>99</v>
      </c>
      <c r="E41" s="489" t="s">
        <v>131</v>
      </c>
      <c r="F41" s="489" t="s">
        <v>132</v>
      </c>
      <c r="G41" s="493" t="s">
        <v>133</v>
      </c>
      <c r="H41" s="489" t="s">
        <v>154</v>
      </c>
      <c r="I41" s="489" t="s">
        <v>155</v>
      </c>
      <c r="J41" s="666" t="s">
        <v>156</v>
      </c>
      <c r="K41" s="489" t="s">
        <v>525</v>
      </c>
      <c r="L41" s="822" t="s">
        <v>120</v>
      </c>
      <c r="M41" s="634" t="s">
        <v>109</v>
      </c>
      <c r="N41" s="634" t="s">
        <v>138</v>
      </c>
      <c r="O41" s="489" t="s">
        <v>111</v>
      </c>
      <c r="P41" s="722" t="s">
        <v>112</v>
      </c>
      <c r="Q41" s="736">
        <f t="shared" si="1"/>
        <v>373000</v>
      </c>
      <c r="R41" s="756">
        <f t="shared" si="2"/>
        <v>0</v>
      </c>
      <c r="S41" s="757">
        <f t="shared" si="3"/>
        <v>13000</v>
      </c>
      <c r="T41" s="757">
        <f t="shared" si="4"/>
        <v>120000</v>
      </c>
      <c r="U41" s="757">
        <f t="shared" si="5"/>
        <v>120000</v>
      </c>
      <c r="V41" s="757">
        <f t="shared" si="6"/>
        <v>120000</v>
      </c>
      <c r="W41" s="758">
        <f t="shared" si="7"/>
        <v>0</v>
      </c>
      <c r="X41" s="768"/>
      <c r="Y41" s="769"/>
      <c r="Z41" s="769"/>
      <c r="AA41" s="770"/>
      <c r="AB41" s="778"/>
      <c r="AC41" s="779">
        <v>13000</v>
      </c>
      <c r="AD41" s="841"/>
      <c r="AE41" s="778"/>
      <c r="AF41" s="843">
        <v>120000</v>
      </c>
      <c r="AG41" s="768"/>
      <c r="AH41" s="769"/>
      <c r="AI41" s="780">
        <v>120000</v>
      </c>
      <c r="AJ41" s="781"/>
      <c r="AK41" s="769"/>
      <c r="AL41" s="780">
        <v>120000</v>
      </c>
      <c r="AM41" s="770"/>
      <c r="AN41" s="778"/>
      <c r="AO41" s="767"/>
      <c r="AP41" s="490" t="s">
        <v>157</v>
      </c>
      <c r="AQ41" s="490"/>
      <c r="AR41" s="816" t="s">
        <v>140</v>
      </c>
      <c r="AS41" s="492"/>
      <c r="AT41" s="492"/>
    </row>
    <row r="42" spans="1:85" s="487" customFormat="1" ht="34.15" customHeight="1" x14ac:dyDescent="0.25">
      <c r="A42" s="488" t="s">
        <v>521</v>
      </c>
      <c r="B42" s="489" t="s">
        <v>98</v>
      </c>
      <c r="C42" s="489" t="s">
        <v>98</v>
      </c>
      <c r="D42" s="489" t="s">
        <v>98</v>
      </c>
      <c r="E42" s="489" t="s">
        <v>131</v>
      </c>
      <c r="F42" s="489" t="s">
        <v>132</v>
      </c>
      <c r="G42" s="493" t="s">
        <v>133</v>
      </c>
      <c r="H42" s="489" t="s">
        <v>158</v>
      </c>
      <c r="I42" s="489" t="s">
        <v>159</v>
      </c>
      <c r="J42" s="669" t="s">
        <v>160</v>
      </c>
      <c r="K42" s="489" t="s">
        <v>526</v>
      </c>
      <c r="L42" s="822" t="s">
        <v>120</v>
      </c>
      <c r="M42" s="634" t="s">
        <v>109</v>
      </c>
      <c r="N42" s="634" t="s">
        <v>138</v>
      </c>
      <c r="O42" s="489" t="s">
        <v>111</v>
      </c>
      <c r="P42" s="722" t="s">
        <v>112</v>
      </c>
      <c r="Q42" s="736">
        <f t="shared" si="1"/>
        <v>27000</v>
      </c>
      <c r="R42" s="756">
        <f t="shared" si="2"/>
        <v>21000</v>
      </c>
      <c r="S42" s="757">
        <f t="shared" si="3"/>
        <v>6000</v>
      </c>
      <c r="T42" s="757">
        <f t="shared" si="4"/>
        <v>0</v>
      </c>
      <c r="U42" s="757">
        <f t="shared" si="5"/>
        <v>0</v>
      </c>
      <c r="V42" s="757">
        <f t="shared" si="6"/>
        <v>0</v>
      </c>
      <c r="W42" s="758">
        <f t="shared" si="7"/>
        <v>0</v>
      </c>
      <c r="X42" s="768"/>
      <c r="Y42" s="827">
        <v>21000</v>
      </c>
      <c r="Z42" s="769"/>
      <c r="AA42" s="770"/>
      <c r="AB42" s="778">
        <v>6000</v>
      </c>
      <c r="AC42" s="772"/>
      <c r="AD42" s="841"/>
      <c r="AE42" s="778"/>
      <c r="AF42" s="843"/>
      <c r="AG42" s="768"/>
      <c r="AH42" s="769"/>
      <c r="AI42" s="780"/>
      <c r="AJ42" s="781"/>
      <c r="AK42" s="769"/>
      <c r="AL42" s="780"/>
      <c r="AM42" s="770"/>
      <c r="AN42" s="769"/>
      <c r="AO42" s="767"/>
      <c r="AP42" s="490" t="s">
        <v>161</v>
      </c>
      <c r="AQ42" s="490"/>
      <c r="AR42" s="816" t="s">
        <v>140</v>
      </c>
      <c r="AS42" s="492"/>
      <c r="AT42" s="492"/>
    </row>
    <row r="43" spans="1:85" s="671" customFormat="1" ht="34.15" customHeight="1" x14ac:dyDescent="0.25">
      <c r="A43" s="488" t="s">
        <v>521</v>
      </c>
      <c r="B43" s="489" t="s">
        <v>162</v>
      </c>
      <c r="C43" s="489" t="s">
        <v>162</v>
      </c>
      <c r="D43" s="489" t="s">
        <v>162</v>
      </c>
      <c r="E43" s="489" t="s">
        <v>131</v>
      </c>
      <c r="F43" s="489" t="s">
        <v>132</v>
      </c>
      <c r="G43" s="493" t="s">
        <v>133</v>
      </c>
      <c r="H43" s="489" t="s">
        <v>163</v>
      </c>
      <c r="I43" s="489" t="s">
        <v>164</v>
      </c>
      <c r="J43" s="666" t="s">
        <v>165</v>
      </c>
      <c r="K43" s="489" t="s">
        <v>166</v>
      </c>
      <c r="L43" s="822" t="s">
        <v>120</v>
      </c>
      <c r="M43" s="634" t="s">
        <v>109</v>
      </c>
      <c r="N43" s="634" t="s">
        <v>138</v>
      </c>
      <c r="O43" s="489" t="s">
        <v>111</v>
      </c>
      <c r="P43" s="722" t="s">
        <v>112</v>
      </c>
      <c r="Q43" s="736">
        <f t="shared" si="1"/>
        <v>266105</v>
      </c>
      <c r="R43" s="756">
        <f t="shared" si="2"/>
        <v>0</v>
      </c>
      <c r="S43" s="757">
        <f t="shared" si="3"/>
        <v>45760</v>
      </c>
      <c r="T43" s="757">
        <f t="shared" si="4"/>
        <v>48048</v>
      </c>
      <c r="U43" s="757">
        <f t="shared" si="5"/>
        <v>54654</v>
      </c>
      <c r="V43" s="757">
        <f t="shared" si="6"/>
        <v>57387</v>
      </c>
      <c r="W43" s="758">
        <f t="shared" si="7"/>
        <v>60256</v>
      </c>
      <c r="X43" s="768"/>
      <c r="Y43" s="769">
        <v>0</v>
      </c>
      <c r="Z43" s="769"/>
      <c r="AA43" s="770"/>
      <c r="AB43" s="835">
        <v>45760</v>
      </c>
      <c r="AC43" s="779"/>
      <c r="AD43" s="844"/>
      <c r="AE43" s="835">
        <v>48048</v>
      </c>
      <c r="AF43" s="842"/>
      <c r="AG43" s="773"/>
      <c r="AH43" s="774">
        <v>54654</v>
      </c>
      <c r="AI43" s="775"/>
      <c r="AJ43" s="776"/>
      <c r="AK43" s="774">
        <v>57387</v>
      </c>
      <c r="AL43" s="780"/>
      <c r="AM43" s="770"/>
      <c r="AN43" s="771">
        <v>60256</v>
      </c>
      <c r="AO43" s="767"/>
      <c r="AP43" s="490" t="s">
        <v>167</v>
      </c>
      <c r="AQ43" s="490"/>
      <c r="AR43" s="816" t="s">
        <v>140</v>
      </c>
      <c r="AS43" s="492"/>
      <c r="AT43" s="492"/>
      <c r="AU43" s="487"/>
      <c r="AV43" s="487"/>
      <c r="AW43" s="487"/>
      <c r="AX43" s="487"/>
      <c r="AY43" s="487"/>
      <c r="AZ43" s="487"/>
      <c r="BA43" s="487"/>
      <c r="BB43" s="487"/>
      <c r="BC43" s="487"/>
      <c r="BD43" s="487"/>
      <c r="BE43" s="487"/>
      <c r="BF43" s="487"/>
      <c r="BG43" s="487"/>
      <c r="BH43" s="487"/>
      <c r="BI43" s="487"/>
      <c r="BJ43" s="487"/>
      <c r="BK43" s="487"/>
      <c r="BL43" s="487"/>
      <c r="BM43" s="487"/>
      <c r="BN43" s="487"/>
      <c r="BO43" s="487"/>
      <c r="BP43" s="487"/>
      <c r="BQ43" s="487"/>
      <c r="BR43" s="487"/>
      <c r="BS43" s="487"/>
      <c r="BT43" s="487"/>
      <c r="BU43" s="487"/>
      <c r="BV43" s="487"/>
      <c r="BW43" s="487"/>
      <c r="BX43" s="487"/>
      <c r="BY43" s="487"/>
      <c r="BZ43" s="487"/>
      <c r="CA43" s="487"/>
      <c r="CB43" s="487"/>
      <c r="CC43" s="487"/>
      <c r="CD43" s="487"/>
      <c r="CE43" s="487"/>
      <c r="CF43" s="487"/>
      <c r="CG43" s="487"/>
    </row>
    <row r="44" spans="1:85" s="487" customFormat="1" ht="34.15" customHeight="1" x14ac:dyDescent="0.25">
      <c r="A44" s="488" t="s">
        <v>521</v>
      </c>
      <c r="B44" s="489" t="s">
        <v>98</v>
      </c>
      <c r="C44" s="489" t="s">
        <v>98</v>
      </c>
      <c r="D44" s="489" t="s">
        <v>98</v>
      </c>
      <c r="E44" s="489" t="s">
        <v>101</v>
      </c>
      <c r="F44" s="489" t="s">
        <v>102</v>
      </c>
      <c r="G44" s="493" t="s">
        <v>168</v>
      </c>
      <c r="H44" s="489" t="s">
        <v>158</v>
      </c>
      <c r="I44" s="489" t="s">
        <v>169</v>
      </c>
      <c r="J44" s="669" t="s">
        <v>170</v>
      </c>
      <c r="K44" s="489" t="s">
        <v>171</v>
      </c>
      <c r="L44" s="822" t="s">
        <v>120</v>
      </c>
      <c r="M44" s="634" t="s">
        <v>109</v>
      </c>
      <c r="N44" s="634" t="s">
        <v>110</v>
      </c>
      <c r="O44" s="489" t="s">
        <v>111</v>
      </c>
      <c r="P44" s="722" t="s">
        <v>112</v>
      </c>
      <c r="Q44" s="736">
        <f t="shared" si="1"/>
        <v>67000</v>
      </c>
      <c r="R44" s="756">
        <f t="shared" si="2"/>
        <v>50000</v>
      </c>
      <c r="S44" s="757">
        <f t="shared" si="3"/>
        <v>17000</v>
      </c>
      <c r="T44" s="757">
        <f t="shared" si="4"/>
        <v>0</v>
      </c>
      <c r="U44" s="757">
        <f t="shared" si="5"/>
        <v>0</v>
      </c>
      <c r="V44" s="757">
        <f t="shared" si="6"/>
        <v>0</v>
      </c>
      <c r="W44" s="758">
        <f t="shared" si="7"/>
        <v>0</v>
      </c>
      <c r="X44" s="768"/>
      <c r="Y44" s="827">
        <v>50000</v>
      </c>
      <c r="Z44" s="769"/>
      <c r="AA44" s="770"/>
      <c r="AB44" s="778">
        <v>17000</v>
      </c>
      <c r="AC44" s="772"/>
      <c r="AD44" s="841"/>
      <c r="AE44" s="778">
        <v>0</v>
      </c>
      <c r="AF44" s="843"/>
      <c r="AG44" s="773"/>
      <c r="AH44" s="774">
        <v>0</v>
      </c>
      <c r="AI44" s="775"/>
      <c r="AJ44" s="776"/>
      <c r="AK44" s="774">
        <v>0</v>
      </c>
      <c r="AL44" s="775"/>
      <c r="AM44" s="777"/>
      <c r="AN44" s="774">
        <v>0</v>
      </c>
      <c r="AO44" s="767"/>
      <c r="AP44" s="490" t="s">
        <v>172</v>
      </c>
      <c r="AQ44" s="490"/>
      <c r="AR44" s="816" t="s">
        <v>140</v>
      </c>
      <c r="AS44" s="492"/>
      <c r="AT44" s="492"/>
    </row>
    <row r="45" spans="1:85" s="671" customFormat="1" ht="34.15" customHeight="1" x14ac:dyDescent="0.25">
      <c r="A45" s="488" t="s">
        <v>521</v>
      </c>
      <c r="B45" s="489" t="s">
        <v>162</v>
      </c>
      <c r="C45" s="489" t="s">
        <v>162</v>
      </c>
      <c r="D45" s="489" t="s">
        <v>162</v>
      </c>
      <c r="E45" s="489" t="s">
        <v>101</v>
      </c>
      <c r="F45" s="489" t="s">
        <v>102</v>
      </c>
      <c r="G45" s="493" t="s">
        <v>168</v>
      </c>
      <c r="H45" s="489" t="s">
        <v>163</v>
      </c>
      <c r="I45" s="489" t="s">
        <v>173</v>
      </c>
      <c r="J45" s="669" t="s">
        <v>174</v>
      </c>
      <c r="K45" s="489" t="s">
        <v>175</v>
      </c>
      <c r="L45" s="822" t="s">
        <v>120</v>
      </c>
      <c r="M45" s="634" t="s">
        <v>109</v>
      </c>
      <c r="N45" s="634" t="s">
        <v>110</v>
      </c>
      <c r="O45" s="489" t="s">
        <v>111</v>
      </c>
      <c r="P45" s="722" t="s">
        <v>112</v>
      </c>
      <c r="Q45" s="736">
        <f t="shared" si="1"/>
        <v>336133</v>
      </c>
      <c r="R45" s="756">
        <f t="shared" si="2"/>
        <v>0</v>
      </c>
      <c r="S45" s="757">
        <f t="shared" si="3"/>
        <v>57802</v>
      </c>
      <c r="T45" s="757">
        <f t="shared" si="4"/>
        <v>60692</v>
      </c>
      <c r="U45" s="757">
        <f t="shared" si="5"/>
        <v>69037</v>
      </c>
      <c r="V45" s="757">
        <f t="shared" si="6"/>
        <v>72489</v>
      </c>
      <c r="W45" s="758">
        <f t="shared" si="7"/>
        <v>76113</v>
      </c>
      <c r="X45" s="768"/>
      <c r="Y45" s="829">
        <v>0</v>
      </c>
      <c r="Z45" s="769"/>
      <c r="AA45" s="770"/>
      <c r="AB45" s="833">
        <v>57802</v>
      </c>
      <c r="AC45" s="779"/>
      <c r="AD45" s="844"/>
      <c r="AE45" s="833">
        <v>60692</v>
      </c>
      <c r="AF45" s="842"/>
      <c r="AG45" s="773"/>
      <c r="AH45" s="774">
        <v>69037</v>
      </c>
      <c r="AI45" s="775"/>
      <c r="AJ45" s="776"/>
      <c r="AK45" s="774">
        <v>72489</v>
      </c>
      <c r="AL45" s="775"/>
      <c r="AM45" s="777"/>
      <c r="AN45" s="774">
        <v>76113</v>
      </c>
      <c r="AO45" s="767"/>
      <c r="AP45" s="490" t="s">
        <v>176</v>
      </c>
      <c r="AQ45" s="490"/>
      <c r="AR45" s="816" t="s">
        <v>140</v>
      </c>
      <c r="AS45" s="492"/>
      <c r="AT45" s="492"/>
      <c r="AU45" s="487"/>
      <c r="AV45" s="487"/>
      <c r="AW45" s="487"/>
      <c r="AX45" s="487"/>
      <c r="AY45" s="487"/>
      <c r="AZ45" s="487"/>
      <c r="BA45" s="487"/>
      <c r="BB45" s="487"/>
      <c r="BC45" s="487"/>
      <c r="BD45" s="487"/>
      <c r="BE45" s="487"/>
      <c r="BF45" s="487"/>
      <c r="BG45" s="487"/>
      <c r="BH45" s="487"/>
      <c r="BI45" s="487"/>
      <c r="BJ45" s="487"/>
      <c r="BK45" s="487"/>
      <c r="BL45" s="487"/>
      <c r="BM45" s="487"/>
      <c r="BN45" s="487"/>
      <c r="BO45" s="487"/>
      <c r="BP45" s="487"/>
      <c r="BQ45" s="487"/>
      <c r="BR45" s="487"/>
      <c r="BS45" s="487"/>
      <c r="BT45" s="487"/>
      <c r="BU45" s="487"/>
      <c r="BV45" s="487"/>
      <c r="BW45" s="487"/>
      <c r="BX45" s="487"/>
      <c r="BY45" s="487"/>
      <c r="BZ45" s="487"/>
      <c r="CA45" s="487"/>
      <c r="CB45" s="487"/>
      <c r="CC45" s="487"/>
      <c r="CD45" s="487"/>
      <c r="CE45" s="487"/>
      <c r="CF45" s="487"/>
      <c r="CG45" s="487"/>
    </row>
    <row r="46" spans="1:85" s="487" customFormat="1" ht="34.15" customHeight="1" x14ac:dyDescent="0.25">
      <c r="A46" s="488" t="s">
        <v>521</v>
      </c>
      <c r="B46" s="489" t="s">
        <v>99</v>
      </c>
      <c r="C46" s="489" t="s">
        <v>99</v>
      </c>
      <c r="D46" s="489" t="s">
        <v>177</v>
      </c>
      <c r="E46" s="489" t="s">
        <v>101</v>
      </c>
      <c r="F46" s="489" t="s">
        <v>178</v>
      </c>
      <c r="G46" s="493" t="s">
        <v>103</v>
      </c>
      <c r="H46" s="489" t="s">
        <v>179</v>
      </c>
      <c r="I46" s="489" t="s">
        <v>180</v>
      </c>
      <c r="J46" s="666" t="s">
        <v>181</v>
      </c>
      <c r="K46" s="489" t="s">
        <v>182</v>
      </c>
      <c r="L46" s="822" t="s">
        <v>120</v>
      </c>
      <c r="M46" s="634" t="s">
        <v>109</v>
      </c>
      <c r="N46" s="634" t="s">
        <v>183</v>
      </c>
      <c r="O46" s="489" t="s">
        <v>111</v>
      </c>
      <c r="P46" s="722" t="s">
        <v>112</v>
      </c>
      <c r="Q46" s="736">
        <f t="shared" si="1"/>
        <v>2380331</v>
      </c>
      <c r="R46" s="756">
        <f t="shared" si="2"/>
        <v>54000</v>
      </c>
      <c r="S46" s="757">
        <f t="shared" si="3"/>
        <v>339406</v>
      </c>
      <c r="T46" s="757">
        <f t="shared" si="4"/>
        <v>404613</v>
      </c>
      <c r="U46" s="757">
        <f t="shared" si="5"/>
        <v>501923</v>
      </c>
      <c r="V46" s="757">
        <f t="shared" si="6"/>
        <v>527019</v>
      </c>
      <c r="W46" s="758">
        <f t="shared" si="7"/>
        <v>553370</v>
      </c>
      <c r="X46" s="768"/>
      <c r="Y46" s="828">
        <v>54000</v>
      </c>
      <c r="Z46" s="769"/>
      <c r="AA46" s="770"/>
      <c r="AB46" s="834">
        <v>339406</v>
      </c>
      <c r="AC46" s="772"/>
      <c r="AD46" s="841"/>
      <c r="AE46" s="834">
        <v>404613</v>
      </c>
      <c r="AF46" s="845"/>
      <c r="AG46" s="783"/>
      <c r="AH46" s="784">
        <v>501923</v>
      </c>
      <c r="AI46" s="785"/>
      <c r="AJ46" s="786"/>
      <c r="AK46" s="784">
        <v>527019</v>
      </c>
      <c r="AL46" s="785"/>
      <c r="AM46" s="787"/>
      <c r="AN46" s="782">
        <v>553370</v>
      </c>
      <c r="AO46" s="767"/>
      <c r="AP46" s="490" t="s">
        <v>184</v>
      </c>
      <c r="AQ46" s="490"/>
      <c r="AR46" s="816" t="s">
        <v>140</v>
      </c>
      <c r="AS46" s="492"/>
      <c r="AT46" s="492"/>
    </row>
    <row r="47" spans="1:85" s="487" customFormat="1" ht="34.15" customHeight="1" x14ac:dyDescent="0.25">
      <c r="A47" s="488" t="s">
        <v>521</v>
      </c>
      <c r="B47" s="489" t="s">
        <v>98</v>
      </c>
      <c r="C47" s="489" t="s">
        <v>98</v>
      </c>
      <c r="D47" s="489" t="s">
        <v>185</v>
      </c>
      <c r="E47" s="489"/>
      <c r="F47" s="489"/>
      <c r="G47" s="493"/>
      <c r="H47" s="489" t="s">
        <v>186</v>
      </c>
      <c r="I47" s="489" t="s">
        <v>187</v>
      </c>
      <c r="J47" s="489" t="s">
        <v>188</v>
      </c>
      <c r="K47" s="489" t="s">
        <v>189</v>
      </c>
      <c r="L47" s="822" t="s">
        <v>120</v>
      </c>
      <c r="M47" s="634" t="s">
        <v>190</v>
      </c>
      <c r="N47" s="634"/>
      <c r="O47" s="489" t="s">
        <v>111</v>
      </c>
      <c r="P47" s="722" t="s">
        <v>191</v>
      </c>
      <c r="Q47" s="730">
        <f t="shared" si="1"/>
        <v>650000</v>
      </c>
      <c r="R47" s="293">
        <f t="shared" ref="R47:R58" si="8">SUM(X47:Z47)</f>
        <v>130000</v>
      </c>
      <c r="S47" s="292">
        <f t="shared" ref="S47:S58" si="9">SUM(AA47:AC47)</f>
        <v>130000</v>
      </c>
      <c r="T47" s="292">
        <f t="shared" ref="T47:T58" si="10">SUM(AD47:AF47)</f>
        <v>130000</v>
      </c>
      <c r="U47" s="292">
        <f t="shared" ref="U47:U58" si="11">SUM(AG47:AI47)</f>
        <v>130000</v>
      </c>
      <c r="V47" s="292">
        <f t="shared" ref="V47:V58" si="12">SUM(AJ47:AL47)</f>
        <v>130000</v>
      </c>
      <c r="W47" s="222">
        <f t="shared" si="7"/>
        <v>0</v>
      </c>
      <c r="X47" s="674"/>
      <c r="Y47" s="418"/>
      <c r="Z47" s="425">
        <v>130000</v>
      </c>
      <c r="AA47" s="420"/>
      <c r="AB47" s="421"/>
      <c r="AC47" s="426">
        <v>130000</v>
      </c>
      <c r="AD47" s="846"/>
      <c r="AE47" s="421"/>
      <c r="AF47" s="847">
        <v>130000</v>
      </c>
      <c r="AG47" s="647"/>
      <c r="AH47" s="421"/>
      <c r="AI47" s="425">
        <v>130000</v>
      </c>
      <c r="AJ47" s="424"/>
      <c r="AK47" s="421"/>
      <c r="AL47" s="423">
        <v>130000</v>
      </c>
      <c r="AM47" s="420"/>
      <c r="AN47" s="421"/>
      <c r="AO47" s="422"/>
      <c r="AP47" s="490"/>
      <c r="AQ47" s="490" t="s">
        <v>192</v>
      </c>
      <c r="AR47" s="490" t="s">
        <v>193</v>
      </c>
      <c r="AS47" s="492"/>
      <c r="AT47" s="492"/>
    </row>
    <row r="48" spans="1:85" s="487" customFormat="1" ht="34.15" customHeight="1" x14ac:dyDescent="0.25">
      <c r="A48" s="488" t="s">
        <v>521</v>
      </c>
      <c r="B48" s="493" t="s">
        <v>162</v>
      </c>
      <c r="C48" s="493" t="s">
        <v>162</v>
      </c>
      <c r="D48" s="493" t="s">
        <v>194</v>
      </c>
      <c r="E48" s="493" t="s">
        <v>101</v>
      </c>
      <c r="F48" s="493" t="s">
        <v>195</v>
      </c>
      <c r="G48" s="493" t="s">
        <v>103</v>
      </c>
      <c r="H48" s="497" t="s">
        <v>163</v>
      </c>
      <c r="I48" s="497" t="s">
        <v>196</v>
      </c>
      <c r="J48" s="670" t="s">
        <v>523</v>
      </c>
      <c r="K48" s="497" t="s">
        <v>197</v>
      </c>
      <c r="L48" s="823" t="s">
        <v>120</v>
      </c>
      <c r="M48" s="634" t="s">
        <v>198</v>
      </c>
      <c r="N48" s="634" t="s">
        <v>110</v>
      </c>
      <c r="O48" s="497" t="s">
        <v>199</v>
      </c>
      <c r="P48" s="723" t="s">
        <v>112</v>
      </c>
      <c r="Q48" s="736">
        <f t="shared" si="1"/>
        <v>6200000</v>
      </c>
      <c r="R48" s="756">
        <f t="shared" si="8"/>
        <v>0</v>
      </c>
      <c r="S48" s="757">
        <f t="shared" si="9"/>
        <v>0</v>
      </c>
      <c r="T48" s="757">
        <f t="shared" si="10"/>
        <v>200000</v>
      </c>
      <c r="U48" s="757">
        <f t="shared" si="11"/>
        <v>2500000</v>
      </c>
      <c r="V48" s="757">
        <f>SUM(AJ48:AL48)</f>
        <v>3500000</v>
      </c>
      <c r="W48" s="758">
        <f t="shared" ref="W48:W57" si="13">SUM(AM48:AO48)</f>
        <v>0</v>
      </c>
      <c r="X48" s="788"/>
      <c r="Y48" s="789"/>
      <c r="Z48" s="789"/>
      <c r="AA48" s="770"/>
      <c r="AB48" s="778"/>
      <c r="AC48" s="772"/>
      <c r="AD48" s="848">
        <v>200000</v>
      </c>
      <c r="AE48" s="778"/>
      <c r="AF48" s="843"/>
      <c r="AG48" s="788">
        <v>2500000</v>
      </c>
      <c r="AH48" s="789"/>
      <c r="AI48" s="790"/>
      <c r="AJ48" s="791">
        <v>3500000</v>
      </c>
      <c r="AK48" s="789"/>
      <c r="AL48" s="790"/>
      <c r="AM48" s="770"/>
      <c r="AN48" s="778"/>
      <c r="AO48" s="767"/>
      <c r="AP48" s="526" t="s">
        <v>200</v>
      </c>
      <c r="AQ48" s="503" t="s">
        <v>201</v>
      </c>
      <c r="AR48" s="526" t="s">
        <v>202</v>
      </c>
      <c r="AS48" s="492" t="s">
        <v>203</v>
      </c>
      <c r="AT48" s="492" t="s">
        <v>204</v>
      </c>
    </row>
    <row r="49" spans="1:46" s="487" customFormat="1" ht="34.15" customHeight="1" x14ac:dyDescent="0.25">
      <c r="A49" s="724" t="s">
        <v>521</v>
      </c>
      <c r="B49" s="725" t="s">
        <v>162</v>
      </c>
      <c r="C49" s="725" t="s">
        <v>162</v>
      </c>
      <c r="D49" s="725" t="s">
        <v>194</v>
      </c>
      <c r="E49" s="725" t="s">
        <v>101</v>
      </c>
      <c r="F49" s="725" t="s">
        <v>195</v>
      </c>
      <c r="G49" s="725"/>
      <c r="H49" s="725" t="s">
        <v>163</v>
      </c>
      <c r="I49" s="725" t="s">
        <v>196</v>
      </c>
      <c r="J49" s="726" t="s">
        <v>523</v>
      </c>
      <c r="K49" s="725" t="s">
        <v>189</v>
      </c>
      <c r="L49" s="824" t="s">
        <v>120</v>
      </c>
      <c r="M49" s="727" t="s">
        <v>190</v>
      </c>
      <c r="N49" s="727"/>
      <c r="O49" s="725" t="s">
        <v>199</v>
      </c>
      <c r="P49" s="728" t="s">
        <v>191</v>
      </c>
      <c r="Q49" s="731">
        <f t="shared" si="1"/>
        <v>400000</v>
      </c>
      <c r="R49" s="733">
        <f t="shared" si="8"/>
        <v>0</v>
      </c>
      <c r="S49" s="729">
        <f t="shared" si="9"/>
        <v>0</v>
      </c>
      <c r="T49" s="729">
        <f t="shared" si="10"/>
        <v>400000</v>
      </c>
      <c r="U49" s="729">
        <f t="shared" si="11"/>
        <v>0</v>
      </c>
      <c r="V49" s="729">
        <f t="shared" si="12"/>
        <v>0</v>
      </c>
      <c r="W49" s="734">
        <f t="shared" si="13"/>
        <v>0</v>
      </c>
      <c r="X49" s="732"/>
      <c r="Y49" s="645"/>
      <c r="Z49" s="645"/>
      <c r="AA49" s="678"/>
      <c r="AB49" s="679"/>
      <c r="AC49" s="645"/>
      <c r="AD49" s="849">
        <v>400000</v>
      </c>
      <c r="AE49" s="850"/>
      <c r="AF49" s="851"/>
      <c r="AG49" s="712"/>
      <c r="AH49" s="649"/>
      <c r="AI49" s="650"/>
      <c r="AJ49" s="648"/>
      <c r="AK49" s="649"/>
      <c r="AL49" s="650"/>
      <c r="AM49" s="710"/>
      <c r="AN49" s="711"/>
      <c r="AO49" s="650"/>
      <c r="AP49" s="815" t="s">
        <v>200</v>
      </c>
      <c r="AQ49" s="813" t="s">
        <v>205</v>
      </c>
      <c r="AR49" s="815"/>
      <c r="AS49" s="526"/>
      <c r="AT49" s="526" t="s">
        <v>204</v>
      </c>
    </row>
    <row r="50" spans="1:46" s="487" customFormat="1" x14ac:dyDescent="0.25">
      <c r="A50" s="489"/>
      <c r="B50" s="489"/>
      <c r="C50" s="489"/>
      <c r="D50" s="489"/>
      <c r="E50" s="489"/>
      <c r="F50" s="489"/>
      <c r="G50" s="489"/>
      <c r="H50" s="527"/>
      <c r="I50" s="527"/>
      <c r="J50" s="528"/>
      <c r="K50" s="527"/>
      <c r="L50" s="823"/>
      <c r="M50" s="527"/>
      <c r="N50" s="658"/>
      <c r="O50" s="527"/>
      <c r="P50" s="489"/>
      <c r="Q50" s="417">
        <f t="shared" si="1"/>
        <v>0</v>
      </c>
      <c r="R50" s="419">
        <f t="shared" si="8"/>
        <v>0</v>
      </c>
      <c r="S50" s="202">
        <f t="shared" si="9"/>
        <v>0</v>
      </c>
      <c r="T50" s="202">
        <f t="shared" si="10"/>
        <v>0</v>
      </c>
      <c r="U50" s="202">
        <f t="shared" si="11"/>
        <v>0</v>
      </c>
      <c r="V50" s="202">
        <f t="shared" si="12"/>
        <v>0</v>
      </c>
      <c r="W50" s="203">
        <f t="shared" si="13"/>
        <v>0</v>
      </c>
      <c r="X50" s="529"/>
      <c r="Y50" s="530"/>
      <c r="Z50" s="530"/>
      <c r="AA50" s="529"/>
      <c r="AB50" s="530"/>
      <c r="AC50" s="531"/>
      <c r="AD50" s="532"/>
      <c r="AE50" s="533"/>
      <c r="AF50" s="534"/>
      <c r="AG50" s="532"/>
      <c r="AH50" s="533"/>
      <c r="AI50" s="534"/>
      <c r="AJ50" s="532"/>
      <c r="AK50" s="533"/>
      <c r="AL50" s="534"/>
      <c r="AM50" s="651"/>
      <c r="AN50" s="535"/>
      <c r="AO50" s="536"/>
      <c r="AP50" s="814"/>
      <c r="AQ50" s="503"/>
      <c r="AR50" s="537"/>
      <c r="AS50" s="492"/>
      <c r="AT50" s="492"/>
    </row>
    <row r="51" spans="1:46" s="487" customFormat="1" ht="16.5" thickBot="1" x14ac:dyDescent="0.3">
      <c r="A51" s="493"/>
      <c r="B51" s="493"/>
      <c r="C51" s="493"/>
      <c r="D51" s="493"/>
      <c r="E51" s="493"/>
      <c r="F51" s="493"/>
      <c r="G51" s="493"/>
      <c r="H51" s="497"/>
      <c r="I51" s="497"/>
      <c r="J51" s="498"/>
      <c r="K51" s="497"/>
      <c r="L51" s="825"/>
      <c r="M51" s="497"/>
      <c r="N51" s="635"/>
      <c r="O51" s="497"/>
      <c r="P51" s="493"/>
      <c r="Q51" s="417">
        <f t="shared" si="1"/>
        <v>0</v>
      </c>
      <c r="R51" s="419">
        <f t="shared" si="8"/>
        <v>0</v>
      </c>
      <c r="S51" s="202">
        <f t="shared" si="9"/>
        <v>0</v>
      </c>
      <c r="T51" s="202">
        <f t="shared" si="10"/>
        <v>0</v>
      </c>
      <c r="U51" s="202">
        <f t="shared" si="11"/>
        <v>0</v>
      </c>
      <c r="V51" s="292">
        <f t="shared" si="12"/>
        <v>0</v>
      </c>
      <c r="W51" s="280">
        <f t="shared" si="13"/>
        <v>0</v>
      </c>
      <c r="X51" s="427"/>
      <c r="Y51" s="428"/>
      <c r="Z51" s="428"/>
      <c r="AA51" s="427"/>
      <c r="AB51" s="428"/>
      <c r="AC51" s="429"/>
      <c r="AD51" s="499"/>
      <c r="AE51" s="500"/>
      <c r="AF51" s="501"/>
      <c r="AG51" s="499"/>
      <c r="AH51" s="500"/>
      <c r="AI51" s="501"/>
      <c r="AJ51" s="499"/>
      <c r="AK51" s="500"/>
      <c r="AL51" s="501"/>
      <c r="AM51" s="643"/>
      <c r="AN51" s="495"/>
      <c r="AO51" s="496"/>
      <c r="AP51" s="502"/>
      <c r="AQ51" s="503"/>
      <c r="AR51" s="504"/>
      <c r="AS51" s="492"/>
      <c r="AT51" s="492"/>
    </row>
    <row r="52" spans="1:46" s="487" customFormat="1" ht="16.5" thickBot="1" x14ac:dyDescent="0.3">
      <c r="A52" s="493"/>
      <c r="B52" s="493"/>
      <c r="C52" s="493"/>
      <c r="D52" s="493"/>
      <c r="E52" s="493"/>
      <c r="F52" s="493"/>
      <c r="G52" s="493"/>
      <c r="H52" s="497"/>
      <c r="I52" s="497"/>
      <c r="J52" s="498"/>
      <c r="K52" s="497"/>
      <c r="L52" s="825"/>
      <c r="M52" s="497"/>
      <c r="N52" s="635"/>
      <c r="O52" s="497"/>
      <c r="P52" s="493"/>
      <c r="Q52" s="417">
        <f t="shared" si="1"/>
        <v>0</v>
      </c>
      <c r="R52" s="419">
        <f t="shared" si="8"/>
        <v>0</v>
      </c>
      <c r="S52" s="202">
        <f t="shared" si="9"/>
        <v>0</v>
      </c>
      <c r="T52" s="202">
        <f t="shared" si="10"/>
        <v>0</v>
      </c>
      <c r="U52" s="202">
        <f t="shared" si="11"/>
        <v>0</v>
      </c>
      <c r="V52" s="292">
        <f t="shared" si="12"/>
        <v>0</v>
      </c>
      <c r="W52" s="280">
        <f t="shared" si="13"/>
        <v>0</v>
      </c>
      <c r="X52" s="427"/>
      <c r="Y52" s="428"/>
      <c r="Z52" s="428"/>
      <c r="AA52" s="427"/>
      <c r="AB52" s="428"/>
      <c r="AC52" s="429"/>
      <c r="AD52" s="499"/>
      <c r="AE52" s="500"/>
      <c r="AF52" s="501"/>
      <c r="AG52" s="499"/>
      <c r="AH52" s="500"/>
      <c r="AI52" s="501"/>
      <c r="AJ52" s="499"/>
      <c r="AK52" s="500"/>
      <c r="AL52" s="501"/>
      <c r="AM52" s="643"/>
      <c r="AN52" s="495"/>
      <c r="AO52" s="496"/>
      <c r="AP52" s="502"/>
      <c r="AQ52" s="503"/>
      <c r="AR52" s="504"/>
      <c r="AS52" s="492"/>
      <c r="AT52" s="492"/>
    </row>
    <row r="53" spans="1:46" s="487" customFormat="1" ht="16.5" thickBot="1" x14ac:dyDescent="0.3">
      <c r="A53" s="493"/>
      <c r="B53" s="493"/>
      <c r="C53" s="493"/>
      <c r="D53" s="493"/>
      <c r="E53" s="493"/>
      <c r="F53" s="493"/>
      <c r="G53" s="493"/>
      <c r="H53" s="497"/>
      <c r="I53" s="497"/>
      <c r="J53" s="498"/>
      <c r="K53" s="497"/>
      <c r="L53" s="825"/>
      <c r="M53" s="497"/>
      <c r="N53" s="635"/>
      <c r="O53" s="497"/>
      <c r="P53" s="493"/>
      <c r="Q53" s="417">
        <f t="shared" si="1"/>
        <v>0</v>
      </c>
      <c r="R53" s="419">
        <f t="shared" si="8"/>
        <v>0</v>
      </c>
      <c r="S53" s="202">
        <f t="shared" si="9"/>
        <v>0</v>
      </c>
      <c r="T53" s="202">
        <f t="shared" si="10"/>
        <v>0</v>
      </c>
      <c r="U53" s="202">
        <f t="shared" si="11"/>
        <v>0</v>
      </c>
      <c r="V53" s="292">
        <f t="shared" si="12"/>
        <v>0</v>
      </c>
      <c r="W53" s="280">
        <f t="shared" si="13"/>
        <v>0</v>
      </c>
      <c r="X53" s="427"/>
      <c r="Y53" s="428"/>
      <c r="Z53" s="428"/>
      <c r="AA53" s="427"/>
      <c r="AB53" s="428"/>
      <c r="AC53" s="429"/>
      <c r="AD53" s="499"/>
      <c r="AE53" s="500"/>
      <c r="AF53" s="501"/>
      <c r="AG53" s="499"/>
      <c r="AH53" s="500"/>
      <c r="AI53" s="501"/>
      <c r="AJ53" s="499"/>
      <c r="AK53" s="500"/>
      <c r="AL53" s="501"/>
      <c r="AM53" s="643"/>
      <c r="AN53" s="495"/>
      <c r="AO53" s="496"/>
      <c r="AP53" s="502"/>
      <c r="AQ53" s="503"/>
      <c r="AR53" s="504"/>
      <c r="AS53" s="492"/>
      <c r="AT53" s="492"/>
    </row>
    <row r="54" spans="1:46" s="487" customFormat="1" ht="16.5" thickBot="1" x14ac:dyDescent="0.3">
      <c r="A54" s="493"/>
      <c r="B54" s="493"/>
      <c r="C54" s="493"/>
      <c r="D54" s="493"/>
      <c r="E54" s="493"/>
      <c r="F54" s="493"/>
      <c r="G54" s="493"/>
      <c r="H54" s="497"/>
      <c r="I54" s="497"/>
      <c r="J54" s="498"/>
      <c r="K54" s="497"/>
      <c r="L54" s="825"/>
      <c r="M54" s="497"/>
      <c r="N54" s="635"/>
      <c r="O54" s="497"/>
      <c r="P54" s="493"/>
      <c r="Q54" s="417">
        <f t="shared" si="1"/>
        <v>0</v>
      </c>
      <c r="R54" s="419">
        <f t="shared" si="8"/>
        <v>0</v>
      </c>
      <c r="S54" s="202">
        <f t="shared" si="9"/>
        <v>0</v>
      </c>
      <c r="T54" s="202">
        <f t="shared" si="10"/>
        <v>0</v>
      </c>
      <c r="U54" s="202">
        <f t="shared" si="11"/>
        <v>0</v>
      </c>
      <c r="V54" s="292">
        <f t="shared" si="12"/>
        <v>0</v>
      </c>
      <c r="W54" s="280">
        <f t="shared" si="13"/>
        <v>0</v>
      </c>
      <c r="X54" s="427"/>
      <c r="Y54" s="428"/>
      <c r="Z54" s="428"/>
      <c r="AA54" s="427"/>
      <c r="AB54" s="428"/>
      <c r="AC54" s="429"/>
      <c r="AD54" s="499"/>
      <c r="AE54" s="500"/>
      <c r="AF54" s="501"/>
      <c r="AG54" s="499"/>
      <c r="AH54" s="500"/>
      <c r="AI54" s="501"/>
      <c r="AJ54" s="499"/>
      <c r="AK54" s="500"/>
      <c r="AL54" s="501"/>
      <c r="AM54" s="643"/>
      <c r="AN54" s="495"/>
      <c r="AO54" s="496"/>
      <c r="AP54" s="502"/>
      <c r="AQ54" s="503"/>
      <c r="AR54" s="504"/>
      <c r="AS54" s="492"/>
      <c r="AT54" s="492"/>
    </row>
    <row r="55" spans="1:46" s="487" customFormat="1" ht="16.5" thickBot="1" x14ac:dyDescent="0.3">
      <c r="A55" s="493"/>
      <c r="B55" s="493"/>
      <c r="C55" s="493"/>
      <c r="D55" s="493"/>
      <c r="E55" s="493"/>
      <c r="F55" s="493"/>
      <c r="G55" s="493"/>
      <c r="H55" s="497"/>
      <c r="I55" s="497"/>
      <c r="J55" s="498"/>
      <c r="K55" s="497"/>
      <c r="L55" s="825"/>
      <c r="M55" s="497"/>
      <c r="N55" s="635"/>
      <c r="O55" s="497"/>
      <c r="P55" s="493"/>
      <c r="Q55" s="417">
        <f t="shared" si="1"/>
        <v>0</v>
      </c>
      <c r="R55" s="419">
        <f t="shared" si="8"/>
        <v>0</v>
      </c>
      <c r="S55" s="202">
        <f t="shared" si="9"/>
        <v>0</v>
      </c>
      <c r="T55" s="202">
        <f t="shared" si="10"/>
        <v>0</v>
      </c>
      <c r="U55" s="202">
        <f t="shared" si="11"/>
        <v>0</v>
      </c>
      <c r="V55" s="292">
        <f t="shared" si="12"/>
        <v>0</v>
      </c>
      <c r="W55" s="280">
        <f t="shared" si="13"/>
        <v>0</v>
      </c>
      <c r="X55" s="427"/>
      <c r="Y55" s="428"/>
      <c r="Z55" s="428"/>
      <c r="AA55" s="427"/>
      <c r="AB55" s="428"/>
      <c r="AC55" s="429"/>
      <c r="AD55" s="499"/>
      <c r="AE55" s="500"/>
      <c r="AF55" s="501"/>
      <c r="AG55" s="499"/>
      <c r="AH55" s="500"/>
      <c r="AI55" s="501"/>
      <c r="AJ55" s="499"/>
      <c r="AK55" s="500"/>
      <c r="AL55" s="501"/>
      <c r="AM55" s="643"/>
      <c r="AN55" s="495"/>
      <c r="AO55" s="496"/>
      <c r="AP55" s="502"/>
      <c r="AQ55" s="503"/>
      <c r="AR55" s="504"/>
      <c r="AS55" s="492"/>
      <c r="AT55" s="492"/>
    </row>
    <row r="56" spans="1:46" s="487" customFormat="1" ht="16.5" thickBot="1" x14ac:dyDescent="0.3">
      <c r="A56" s="493"/>
      <c r="B56" s="493"/>
      <c r="C56" s="493"/>
      <c r="D56" s="493"/>
      <c r="E56" s="493"/>
      <c r="F56" s="493"/>
      <c r="G56" s="493"/>
      <c r="H56" s="497"/>
      <c r="I56" s="497"/>
      <c r="J56" s="498"/>
      <c r="K56" s="497"/>
      <c r="L56" s="825"/>
      <c r="M56" s="497"/>
      <c r="N56" s="635"/>
      <c r="O56" s="497"/>
      <c r="P56" s="493"/>
      <c r="Q56" s="417">
        <f t="shared" si="1"/>
        <v>0</v>
      </c>
      <c r="R56" s="419">
        <f t="shared" si="8"/>
        <v>0</v>
      </c>
      <c r="S56" s="202">
        <f t="shared" si="9"/>
        <v>0</v>
      </c>
      <c r="T56" s="202">
        <f t="shared" si="10"/>
        <v>0</v>
      </c>
      <c r="U56" s="202">
        <f t="shared" si="11"/>
        <v>0</v>
      </c>
      <c r="V56" s="292">
        <f t="shared" si="12"/>
        <v>0</v>
      </c>
      <c r="W56" s="280">
        <f t="shared" si="13"/>
        <v>0</v>
      </c>
      <c r="X56" s="427"/>
      <c r="Y56" s="428"/>
      <c r="Z56" s="428"/>
      <c r="AA56" s="427"/>
      <c r="AB56" s="428"/>
      <c r="AC56" s="429"/>
      <c r="AD56" s="499"/>
      <c r="AE56" s="500"/>
      <c r="AF56" s="501"/>
      <c r="AG56" s="499"/>
      <c r="AH56" s="500"/>
      <c r="AI56" s="501"/>
      <c r="AJ56" s="499"/>
      <c r="AK56" s="500"/>
      <c r="AL56" s="501"/>
      <c r="AM56" s="643"/>
      <c r="AN56" s="495"/>
      <c r="AO56" s="496"/>
      <c r="AP56" s="502"/>
      <c r="AQ56" s="503"/>
      <c r="AR56" s="504"/>
      <c r="AS56" s="492"/>
      <c r="AT56" s="492"/>
    </row>
    <row r="57" spans="1:46" s="487" customFormat="1" ht="16.5" thickBot="1" x14ac:dyDescent="0.3">
      <c r="A57" s="493"/>
      <c r="B57" s="493"/>
      <c r="C57" s="493"/>
      <c r="D57" s="493"/>
      <c r="E57" s="493"/>
      <c r="F57" s="493"/>
      <c r="G57" s="494"/>
      <c r="H57" s="497"/>
      <c r="I57" s="497"/>
      <c r="J57" s="498"/>
      <c r="K57" s="497"/>
      <c r="L57" s="825"/>
      <c r="M57" s="497"/>
      <c r="N57" s="635"/>
      <c r="O57" s="497"/>
      <c r="P57" s="493"/>
      <c r="Q57" s="417">
        <f t="shared" si="1"/>
        <v>0</v>
      </c>
      <c r="R57" s="419">
        <f t="shared" si="8"/>
        <v>0</v>
      </c>
      <c r="S57" s="202">
        <f t="shared" si="9"/>
        <v>0</v>
      </c>
      <c r="T57" s="202">
        <f t="shared" si="10"/>
        <v>0</v>
      </c>
      <c r="U57" s="202">
        <f t="shared" si="11"/>
        <v>0</v>
      </c>
      <c r="V57" s="292">
        <f t="shared" si="12"/>
        <v>0</v>
      </c>
      <c r="W57" s="280">
        <f t="shared" si="13"/>
        <v>0</v>
      </c>
      <c r="X57" s="644"/>
      <c r="Y57" s="645"/>
      <c r="Z57" s="645"/>
      <c r="AA57" s="644"/>
      <c r="AB57" s="645"/>
      <c r="AC57" s="646"/>
      <c r="AD57" s="648"/>
      <c r="AE57" s="649"/>
      <c r="AF57" s="650"/>
      <c r="AG57" s="499"/>
      <c r="AH57" s="500"/>
      <c r="AI57" s="501"/>
      <c r="AJ57" s="648"/>
      <c r="AK57" s="649"/>
      <c r="AL57" s="650"/>
      <c r="AM57" s="643"/>
      <c r="AN57" s="495"/>
      <c r="AO57" s="496"/>
      <c r="AP57" s="502"/>
      <c r="AQ57" s="503"/>
      <c r="AR57" s="504"/>
      <c r="AS57" s="492"/>
      <c r="AT57" s="492"/>
    </row>
    <row r="58" spans="1:46" s="487" customFormat="1" ht="15.6" customHeight="1" thickBot="1" x14ac:dyDescent="0.3">
      <c r="A58" s="505"/>
      <c r="B58" s="506"/>
      <c r="C58" s="506"/>
      <c r="D58" s="506"/>
      <c r="E58" s="506"/>
      <c r="F58" s="506"/>
      <c r="G58" s="506"/>
      <c r="H58" s="506"/>
      <c r="I58" s="506"/>
      <c r="J58" s="506"/>
      <c r="K58" s="506"/>
      <c r="L58" s="506"/>
      <c r="M58" s="506"/>
      <c r="N58" s="659"/>
      <c r="O58" s="506"/>
      <c r="P58" s="506"/>
      <c r="Q58" s="430">
        <f t="shared" si="1"/>
        <v>4588718</v>
      </c>
      <c r="R58" s="431">
        <f t="shared" si="8"/>
        <v>336590</v>
      </c>
      <c r="S58" s="259">
        <f t="shared" si="9"/>
        <v>1259011</v>
      </c>
      <c r="T58" s="259">
        <f t="shared" si="10"/>
        <v>2993117</v>
      </c>
      <c r="U58" s="259">
        <f t="shared" si="11"/>
        <v>0</v>
      </c>
      <c r="V58" s="432">
        <f t="shared" si="12"/>
        <v>0</v>
      </c>
      <c r="W58" s="432">
        <f t="shared" ref="W58" si="14">SUM(AM58:AO58)</f>
        <v>0</v>
      </c>
      <c r="X58" s="640">
        <f t="shared" ref="X58:AF58" si="15">SUM(X35:X57)</f>
        <v>18590</v>
      </c>
      <c r="Y58" s="641">
        <f t="shared" si="15"/>
        <v>188000</v>
      </c>
      <c r="Z58" s="642">
        <f t="shared" si="15"/>
        <v>130000</v>
      </c>
      <c r="AA58" s="640">
        <f t="shared" si="15"/>
        <v>141410</v>
      </c>
      <c r="AB58" s="641">
        <f t="shared" si="15"/>
        <v>844601</v>
      </c>
      <c r="AC58" s="642">
        <f t="shared" si="15"/>
        <v>273000</v>
      </c>
      <c r="AD58" s="640">
        <f t="shared" si="15"/>
        <v>1231800</v>
      </c>
      <c r="AE58" s="641">
        <f t="shared" si="15"/>
        <v>1091317</v>
      </c>
      <c r="AF58" s="642">
        <f t="shared" si="15"/>
        <v>670000</v>
      </c>
      <c r="AG58" s="175"/>
      <c r="AH58" s="173"/>
      <c r="AI58" s="174"/>
      <c r="AJ58" s="281"/>
      <c r="AK58" s="652"/>
      <c r="AL58" s="652"/>
      <c r="AM58" s="265"/>
      <c r="AN58" s="266"/>
      <c r="AO58" s="174"/>
      <c r="AP58" s="507"/>
      <c r="AQ58" s="508"/>
      <c r="AR58" s="509"/>
      <c r="AS58" s="508"/>
      <c r="AT58" s="508"/>
    </row>
    <row r="59" spans="1:46" ht="16.5" thickBot="1" x14ac:dyDescent="0.3">
      <c r="J59" s="439"/>
      <c r="Q59" s="439"/>
      <c r="R59" s="439"/>
      <c r="S59" s="439"/>
      <c r="T59" s="439"/>
      <c r="U59" s="439"/>
      <c r="V59" s="439"/>
      <c r="W59" s="439"/>
      <c r="X59" s="510">
        <f t="shared" ref="X59:AF59" si="16">SUM(X61+X64+X67+X70+X76+X79+X82+X85+X91+X94+X97+X100)</f>
        <v>18590</v>
      </c>
      <c r="Y59" s="511">
        <f t="shared" si="16"/>
        <v>188000</v>
      </c>
      <c r="Z59" s="512">
        <f t="shared" si="16"/>
        <v>0</v>
      </c>
      <c r="AA59" s="510">
        <f t="shared" si="16"/>
        <v>141410</v>
      </c>
      <c r="AB59" s="511">
        <f t="shared" si="16"/>
        <v>844601</v>
      </c>
      <c r="AC59" s="512">
        <f t="shared" si="16"/>
        <v>143000</v>
      </c>
      <c r="AD59" s="510">
        <f t="shared" si="16"/>
        <v>831800</v>
      </c>
      <c r="AE59" s="511">
        <f t="shared" si="16"/>
        <v>1091317</v>
      </c>
      <c r="AF59" s="512">
        <f t="shared" si="16"/>
        <v>540000</v>
      </c>
      <c r="AG59" s="439"/>
      <c r="AH59" s="439"/>
      <c r="AI59" s="439"/>
      <c r="AJ59" s="439"/>
      <c r="AK59" s="439"/>
      <c r="AL59" s="439"/>
      <c r="AM59" s="439"/>
      <c r="AN59" s="439"/>
      <c r="AO59" s="439"/>
      <c r="AR59" s="439"/>
    </row>
    <row r="60" spans="1:46" ht="16.5" thickBot="1" x14ac:dyDescent="0.3">
      <c r="F60" s="513"/>
      <c r="J60" s="439"/>
      <c r="Q60" s="439"/>
      <c r="R60" s="439"/>
      <c r="S60" s="439"/>
      <c r="T60" s="439"/>
      <c r="U60" s="513" t="s">
        <v>112</v>
      </c>
      <c r="V60" s="439"/>
      <c r="W60" s="439"/>
      <c r="X60" s="439"/>
      <c r="Y60" s="439"/>
      <c r="Z60" s="439"/>
      <c r="AA60" s="439"/>
      <c r="AB60" s="439"/>
      <c r="AC60" s="439"/>
      <c r="AD60" s="439"/>
      <c r="AE60" s="439"/>
      <c r="AF60" s="439"/>
      <c r="AG60" s="439"/>
      <c r="AH60" s="439"/>
      <c r="AI60" s="439"/>
      <c r="AJ60" s="439"/>
      <c r="AK60" s="439"/>
      <c r="AL60" s="439"/>
      <c r="AM60" s="439"/>
      <c r="AN60" s="439"/>
      <c r="AO60" s="439"/>
    </row>
    <row r="61" spans="1:46" ht="16.5" thickBot="1" x14ac:dyDescent="0.3">
      <c r="E61" s="439" t="s">
        <v>101</v>
      </c>
      <c r="F61" s="487" t="s">
        <v>206</v>
      </c>
      <c r="G61" s="439" t="s">
        <v>103</v>
      </c>
      <c r="J61" s="439"/>
      <c r="P61" s="487" t="s">
        <v>191</v>
      </c>
      <c r="Q61" s="487"/>
      <c r="R61" s="439"/>
      <c r="S61" s="439"/>
      <c r="T61" s="439"/>
      <c r="U61" s="439" t="s">
        <v>7</v>
      </c>
      <c r="V61" s="439"/>
      <c r="W61" s="439"/>
      <c r="X61" s="514">
        <f>SUMIFS($X$35:$X$57,$G$35:$G$57,$G$61,$P$35:$P$57,"SF 21-27 (taotletav raha)")</f>
        <v>18590</v>
      </c>
      <c r="Y61" s="515">
        <f>SUMIFS($Y$35:$Y$57,$G$35:$G$57,$G$61,$P$35:$P$57,"SF 21-27 (taotletav raha)")</f>
        <v>117000</v>
      </c>
      <c r="Z61" s="516">
        <f>SUMIFS($Z$35:$Z$57,$G$35:$G$57,$G$61,$P$35:$P$57,"SF 21-27 (taotletav raha)")</f>
        <v>0</v>
      </c>
      <c r="AA61" s="514">
        <f>SUMIFS($AA$35:$AA$57,$G$35:$G$57,$G$61,$P$35:$P$57,"SF 21-27 (taotletav raha)")</f>
        <v>141410</v>
      </c>
      <c r="AB61" s="517">
        <f>SUMIFS($AB$35:$AB$57,$G$35:$G$57,$G$61,$P$35:$P$57,"SF 21-27 (taotletav raha)")</f>
        <v>619039</v>
      </c>
      <c r="AC61" s="518">
        <f>SUMIFS($AC$35:$AC$57,$G$35:$G$57,$G$61,$P$35:$P$57,"SF 21-27 (taotletav raha)")</f>
        <v>0</v>
      </c>
      <c r="AD61" s="519">
        <f>SUMIFS($AD$35:$AD$57,$G$35:$G$57,$G$61,$P$35:$P$57,"SF 21-27 (taotletav raha)")</f>
        <v>831800</v>
      </c>
      <c r="AE61" s="517">
        <f>SUMIFS($AE$35:$AE$57,$G$35:$G$57,$G$61,$P$35:$P$57,"SF 21-27 (taotletav raha)")</f>
        <v>883577</v>
      </c>
      <c r="AF61" s="518">
        <f>SUMIFS($AF$35:$AF$57,$G$35:$G$57,$G$61,$P$35:$P$57,"SF 21-27 (taotletav raha)")</f>
        <v>0</v>
      </c>
      <c r="AG61" s="439"/>
      <c r="AH61" s="439"/>
      <c r="AI61" s="439"/>
      <c r="AJ61" s="439"/>
      <c r="AK61" s="439"/>
      <c r="AL61" s="439"/>
      <c r="AM61" s="439"/>
      <c r="AN61" s="439"/>
      <c r="AO61" s="439"/>
      <c r="AQ61" s="439" t="s">
        <v>207</v>
      </c>
    </row>
    <row r="62" spans="1:46" ht="16.5" thickBot="1" x14ac:dyDescent="0.3">
      <c r="E62" s="439" t="s">
        <v>208</v>
      </c>
      <c r="F62" s="487" t="s">
        <v>209</v>
      </c>
      <c r="G62" s="439" t="s">
        <v>133</v>
      </c>
      <c r="J62" s="439"/>
      <c r="P62" s="487" t="s">
        <v>210</v>
      </c>
      <c r="Q62" s="487"/>
      <c r="R62" s="439"/>
      <c r="S62" s="439"/>
      <c r="T62" s="439"/>
      <c r="U62" s="520" t="s">
        <v>211</v>
      </c>
      <c r="V62" s="520"/>
      <c r="W62" s="520"/>
      <c r="X62" s="510">
        <f>X61*1.2</f>
        <v>22308</v>
      </c>
      <c r="Y62" s="511">
        <f>Y61</f>
        <v>117000</v>
      </c>
      <c r="Z62" s="512">
        <f>Z61*1.2</f>
        <v>0</v>
      </c>
      <c r="AA62" s="510">
        <f>AA61*1.22</f>
        <v>172520.19999999998</v>
      </c>
      <c r="AB62" s="511">
        <f t="shared" ref="AB62" si="17">AB61</f>
        <v>619039</v>
      </c>
      <c r="AC62" s="512">
        <f t="shared" ref="AC62" si="18">AC61*1.22</f>
        <v>0</v>
      </c>
      <c r="AD62" s="510">
        <f>AD61*1.22</f>
        <v>1014796</v>
      </c>
      <c r="AE62" s="511">
        <f t="shared" ref="AE62" si="19">AE61</f>
        <v>883577</v>
      </c>
      <c r="AF62" s="512">
        <f t="shared" ref="AF62" si="20">AF61*1.22</f>
        <v>0</v>
      </c>
      <c r="AG62" s="439"/>
      <c r="AH62" s="439"/>
      <c r="AI62" s="439"/>
      <c r="AJ62" s="439"/>
      <c r="AK62" s="439"/>
      <c r="AL62" s="439"/>
      <c r="AM62" s="439"/>
      <c r="AN62" s="439"/>
      <c r="AO62" s="439"/>
      <c r="AQ62" s="439" t="s">
        <v>192</v>
      </c>
    </row>
    <row r="63" spans="1:46" ht="16.5" thickBot="1" x14ac:dyDescent="0.3">
      <c r="E63" s="439" t="s">
        <v>131</v>
      </c>
      <c r="F63" s="487" t="s">
        <v>212</v>
      </c>
      <c r="G63" s="439" t="s">
        <v>213</v>
      </c>
      <c r="J63" s="439"/>
      <c r="P63" s="487" t="s">
        <v>214</v>
      </c>
      <c r="Q63" s="487"/>
      <c r="R63" s="439"/>
      <c r="S63" s="439"/>
      <c r="T63" s="439"/>
      <c r="U63" s="439"/>
      <c r="V63" s="439"/>
      <c r="W63" s="439"/>
      <c r="X63" s="521"/>
      <c r="Y63" s="521"/>
      <c r="Z63" s="521"/>
      <c r="AA63" s="439"/>
      <c r="AB63" s="439"/>
      <c r="AC63" s="439"/>
      <c r="AD63" s="439"/>
      <c r="AE63" s="439"/>
      <c r="AF63" s="439"/>
      <c r="AG63" s="439"/>
      <c r="AH63" s="439"/>
      <c r="AI63" s="439"/>
      <c r="AJ63" s="439"/>
      <c r="AK63" s="439"/>
      <c r="AL63" s="439"/>
      <c r="AM63" s="439"/>
      <c r="AN63" s="439"/>
      <c r="AO63" s="439"/>
      <c r="AQ63" s="439" t="s">
        <v>215</v>
      </c>
    </row>
    <row r="64" spans="1:46" ht="16.5" thickBot="1" x14ac:dyDescent="0.3">
      <c r="F64" s="487" t="s">
        <v>216</v>
      </c>
      <c r="G64" s="439" t="s">
        <v>168</v>
      </c>
      <c r="J64" s="439"/>
      <c r="P64" s="487" t="s">
        <v>217</v>
      </c>
      <c r="Q64" s="487"/>
      <c r="R64" s="439"/>
      <c r="S64" s="439"/>
      <c r="T64" s="439"/>
      <c r="U64" s="439" t="s">
        <v>8</v>
      </c>
      <c r="V64" s="439"/>
      <c r="W64" s="439"/>
      <c r="X64" s="514">
        <f>SUMIFS(X35:X57,G35:G57,$G$62,P35:P57,"SF 21-27 (taotletav raha)")</f>
        <v>0</v>
      </c>
      <c r="Y64" s="515">
        <f>SUMIFS(Y35:Y57,G35:G57,$G$62,P35:P57,"SF 21-27 (taotletav raha)")</f>
        <v>21000</v>
      </c>
      <c r="Z64" s="516">
        <f>SUMIFS(Z35:Z57,G35:G57,$G$62,P35:P57,"SF 21-27 (taotletav raha)")</f>
        <v>0</v>
      </c>
      <c r="AA64" s="519">
        <f>SUMIFS(AA35:AA57,G35:G57,$G$62,P35:P57,"SF 21-27 (taotletav raha)")</f>
        <v>0</v>
      </c>
      <c r="AB64" s="517">
        <f>SUMIFS(AB35:AB57,G35:G57,$G$62,P35:P57,"SF 21-27 (taotletav raha)")</f>
        <v>150760</v>
      </c>
      <c r="AC64" s="518">
        <f>SUMIFS(AC35:AC57,G35:G57,$G$62,P35:P57,"SF 21-27 (taotletav raha)")</f>
        <v>143000</v>
      </c>
      <c r="AD64" s="519">
        <f>SUMIFS(AD35:AD57,G35:G57,$G$62,P35:P57,"SF 21-27 (taotletav raha)")</f>
        <v>0</v>
      </c>
      <c r="AE64" s="517">
        <f>SUMIFS(AE35:AE57,G35:G57,$G$62,P35:P57,"SF 21-27 (taotletav raha)")</f>
        <v>147048</v>
      </c>
      <c r="AF64" s="518">
        <f>SUMIFS(AF35:AF57,G35:G57,$G$62,P35:P57,"SF 21-27 (taotletav raha)")</f>
        <v>540000</v>
      </c>
      <c r="AG64" s="439"/>
      <c r="AH64" s="439"/>
      <c r="AI64" s="439"/>
      <c r="AJ64" s="439"/>
      <c r="AK64" s="439"/>
      <c r="AL64" s="439"/>
      <c r="AM64" s="439"/>
      <c r="AN64" s="439"/>
      <c r="AO64" s="439"/>
      <c r="AQ64" s="439" t="s">
        <v>218</v>
      </c>
    </row>
    <row r="65" spans="6:43" ht="16.5" thickBot="1" x14ac:dyDescent="0.3">
      <c r="F65" s="487" t="s">
        <v>219</v>
      </c>
      <c r="J65" s="439"/>
      <c r="P65" s="487" t="s">
        <v>18</v>
      </c>
      <c r="Q65" s="487"/>
      <c r="R65" s="439"/>
      <c r="S65" s="439"/>
      <c r="T65" s="439"/>
      <c r="U65" s="520" t="s">
        <v>211</v>
      </c>
      <c r="V65" s="439"/>
      <c r="W65" s="439"/>
      <c r="X65" s="510">
        <f>X64*1.2</f>
        <v>0</v>
      </c>
      <c r="Y65" s="511">
        <f>Y64</f>
        <v>21000</v>
      </c>
      <c r="Z65" s="512">
        <f>Z64*1.2</f>
        <v>0</v>
      </c>
      <c r="AA65" s="510">
        <f>AA64*1.22</f>
        <v>0</v>
      </c>
      <c r="AB65" s="511">
        <f t="shared" ref="AB65" si="21">AB64</f>
        <v>150760</v>
      </c>
      <c r="AC65" s="512">
        <f t="shared" ref="AC65" si="22">AC64*1.22</f>
        <v>174460</v>
      </c>
      <c r="AD65" s="510">
        <f>AD64*1.22</f>
        <v>0</v>
      </c>
      <c r="AE65" s="511">
        <f t="shared" ref="AE65" si="23">AE64</f>
        <v>147048</v>
      </c>
      <c r="AF65" s="512">
        <f t="shared" ref="AF65" si="24">AF64*1.22</f>
        <v>658800</v>
      </c>
      <c r="AG65" s="439"/>
      <c r="AH65" s="439"/>
      <c r="AI65" s="439"/>
      <c r="AJ65" s="439"/>
      <c r="AK65" s="439"/>
      <c r="AL65" s="439"/>
      <c r="AM65" s="439"/>
      <c r="AN65" s="439"/>
      <c r="AO65" s="439"/>
      <c r="AQ65" s="439" t="s">
        <v>220</v>
      </c>
    </row>
    <row r="66" spans="6:43" ht="16.5" thickBot="1" x14ac:dyDescent="0.3">
      <c r="F66" s="487" t="s">
        <v>178</v>
      </c>
      <c r="J66" s="439"/>
      <c r="P66" s="487" t="s">
        <v>221</v>
      </c>
      <c r="Q66" s="487"/>
      <c r="R66" s="439"/>
      <c r="S66" s="439"/>
      <c r="T66" s="439"/>
      <c r="U66" s="439"/>
      <c r="V66" s="439"/>
      <c r="W66" s="439"/>
      <c r="X66" s="521"/>
      <c r="Y66" s="521"/>
      <c r="Z66" s="521"/>
      <c r="AA66" s="439"/>
      <c r="AB66" s="439"/>
      <c r="AC66" s="439"/>
      <c r="AD66" s="439"/>
      <c r="AE66" s="439"/>
      <c r="AF66" s="439"/>
      <c r="AG66" s="439"/>
      <c r="AH66" s="439"/>
      <c r="AI66" s="439"/>
      <c r="AJ66" s="439"/>
      <c r="AK66" s="439"/>
      <c r="AL66" s="439"/>
      <c r="AM66" s="439"/>
      <c r="AN66" s="439"/>
      <c r="AO66" s="439"/>
    </row>
    <row r="67" spans="6:43" x14ac:dyDescent="0.25">
      <c r="F67" s="487" t="s">
        <v>195</v>
      </c>
      <c r="J67" s="439"/>
      <c r="K67" s="521"/>
      <c r="L67" s="521"/>
      <c r="M67" s="521"/>
      <c r="P67" s="487" t="s">
        <v>112</v>
      </c>
      <c r="U67" s="738" t="s">
        <v>222</v>
      </c>
      <c r="X67" s="792">
        <f>SUMIFS(X35:X57,G35:G57,$G$63,P35:P57,"SF 21-27 (taotletav raha)")</f>
        <v>0</v>
      </c>
      <c r="Y67" s="793">
        <f>SUMIFS(Y35:Y57,G35:G57,$G$63,P35:P57,"SF 21-27 (taotletav raha)")</f>
        <v>0</v>
      </c>
      <c r="Z67" s="794">
        <f>SUMIFS(Z35:Z57,G35:G57,$G$63,P35:P57,"SF 21-27 (taotletav raha)")</f>
        <v>0</v>
      </c>
      <c r="AA67" s="795">
        <f>SUMIFS(AA35:AA57,G35:G57,$G$63,P35:P57,"SF 21-27 (taotletav raha)")</f>
        <v>0</v>
      </c>
      <c r="AB67" s="796">
        <f>SUMIFS(AB35:AB57,G35:G57,$G$63,P35:P57,"SF 21-27 (taotletav raha)")</f>
        <v>0</v>
      </c>
      <c r="AC67" s="797">
        <f>SUMIFS(AC35:AC57,G35:G57,$G$63,P35:P57,"SF 21-27 (taotletav raha)")</f>
        <v>0</v>
      </c>
      <c r="AD67" s="795">
        <f>SUMIFS(AD35:AD57,G35:G57,$G$63,P35:P57,"SF 21-27 (taotletav raha)")</f>
        <v>0</v>
      </c>
      <c r="AE67" s="796">
        <f>SUMIFS(AE35:AE57,G35:G57,$G$63,P35:P57,"SF 21-27 (taotletav raha)")</f>
        <v>0</v>
      </c>
      <c r="AF67" s="797">
        <f>SUMIFS(AF35:AF57,G35:G57,$G$63,P35:P57,"SF 21-27 (taotletav raha)")</f>
        <v>0</v>
      </c>
    </row>
    <row r="68" spans="6:43" ht="16.5" thickBot="1" x14ac:dyDescent="0.3">
      <c r="F68" s="487" t="s">
        <v>223</v>
      </c>
      <c r="J68" s="439"/>
      <c r="K68" s="521"/>
      <c r="L68" s="521"/>
      <c r="Q68" s="439"/>
      <c r="R68" s="439"/>
      <c r="S68" s="439"/>
      <c r="T68" s="439"/>
      <c r="U68" s="520" t="s">
        <v>211</v>
      </c>
      <c r="V68" s="439"/>
      <c r="W68" s="439"/>
      <c r="X68" s="510">
        <f>X67*1.2</f>
        <v>0</v>
      </c>
      <c r="Y68" s="511">
        <f>Y67</f>
        <v>0</v>
      </c>
      <c r="Z68" s="512">
        <f>Z67*1.2</f>
        <v>0</v>
      </c>
      <c r="AA68" s="510">
        <f>AA67*1.22</f>
        <v>0</v>
      </c>
      <c r="AB68" s="511">
        <f t="shared" ref="AB68" si="25">AB67</f>
        <v>0</v>
      </c>
      <c r="AC68" s="512">
        <f t="shared" ref="AC68" si="26">AC67*1.22</f>
        <v>0</v>
      </c>
      <c r="AD68" s="510">
        <f>AD67*1.22</f>
        <v>0</v>
      </c>
      <c r="AE68" s="511">
        <f t="shared" ref="AE68" si="27">AE67</f>
        <v>0</v>
      </c>
      <c r="AF68" s="512">
        <f t="shared" ref="AF68" si="28">AF67*1.22</f>
        <v>0</v>
      </c>
      <c r="AG68" s="439"/>
      <c r="AH68" s="439"/>
      <c r="AI68" s="439"/>
      <c r="AJ68" s="439"/>
      <c r="AK68" s="439"/>
      <c r="AL68" s="439"/>
      <c r="AM68" s="439"/>
      <c r="AN68" s="439"/>
      <c r="AO68" s="439"/>
    </row>
    <row r="69" spans="6:43" x14ac:dyDescent="0.25">
      <c r="F69" s="487" t="s">
        <v>224</v>
      </c>
      <c r="J69" s="439"/>
      <c r="K69" s="521"/>
      <c r="L69" s="521"/>
      <c r="Q69" s="439"/>
      <c r="R69" s="439"/>
      <c r="S69" s="439"/>
      <c r="T69" s="439"/>
      <c r="U69" s="439"/>
      <c r="V69" s="439"/>
      <c r="W69" s="439"/>
      <c r="X69" s="521"/>
      <c r="Y69" s="521"/>
      <c r="Z69" s="521"/>
      <c r="AA69" s="439"/>
      <c r="AB69" s="439"/>
      <c r="AC69" s="439"/>
      <c r="AD69" s="439"/>
      <c r="AE69" s="439"/>
      <c r="AF69" s="439"/>
      <c r="AG69" s="439"/>
      <c r="AH69" s="439"/>
      <c r="AI69" s="439"/>
      <c r="AJ69" s="439"/>
      <c r="AK69" s="439"/>
      <c r="AL69" s="439"/>
      <c r="AM69" s="439"/>
      <c r="AN69" s="439"/>
      <c r="AO69" s="439"/>
    </row>
    <row r="70" spans="6:43" x14ac:dyDescent="0.25">
      <c r="F70" s="487" t="s">
        <v>225</v>
      </c>
      <c r="J70" s="439"/>
      <c r="K70" s="521"/>
      <c r="L70" s="521"/>
      <c r="Q70" s="439"/>
      <c r="R70" s="439"/>
      <c r="S70" s="439"/>
      <c r="T70" s="439"/>
      <c r="U70" s="439" t="s">
        <v>10</v>
      </c>
      <c r="V70" s="439"/>
      <c r="W70" s="439"/>
      <c r="X70" s="514">
        <f>SUMIFS(X35:X57,G35:G57,$G$64,P35:P57,"SF 21-27 (taotletav raha)")</f>
        <v>0</v>
      </c>
      <c r="Y70" s="515">
        <f>SUMIFS(Y35:Y57,G35:G57,$G$64,P35:P57,"SF 21-27 (taotletav raha)")</f>
        <v>50000</v>
      </c>
      <c r="Z70" s="516">
        <f>SUMIFS(Z35:Z57,G35:G57,$G$64,P35:P57,"SF 21-27 (taotletav raha)")</f>
        <v>0</v>
      </c>
      <c r="AA70" s="519">
        <f>SUMIFS(AA35:AA57,G35:G57,$G$64,P35:P57,"SF 21-27 (taotletav raha)")</f>
        <v>0</v>
      </c>
      <c r="AB70" s="517">
        <f>SUMIFS(AB35:AB57,G35:G57,$G$64,P35:P57,"SF 21-27 (taotletav raha)")</f>
        <v>74802</v>
      </c>
      <c r="AC70" s="518">
        <f>SUMIFS(AC35:AC57,G35:G57,$G$64,P35:P57,"SF 21-27 (taotletav raha)")</f>
        <v>0</v>
      </c>
      <c r="AD70" s="519">
        <f>SUMIFS(AD35:AD57,G35:G57,$G$64,P35:P57,"SF 21-27 (taotletav raha)")</f>
        <v>0</v>
      </c>
      <c r="AE70" s="517">
        <f>SUMIFS(AE35:AE57,G35:G57,$G$64,P35:P57,"SF 21-27 (taotletav raha)")</f>
        <v>60692</v>
      </c>
      <c r="AF70" s="518">
        <f>SUMIFS(AF35:AF57,G35:G57,$G$64,P35:P57,"SF 21-27 (taotletav raha)")</f>
        <v>0</v>
      </c>
      <c r="AG70" s="439"/>
      <c r="AH70" s="439"/>
      <c r="AI70" s="439"/>
      <c r="AJ70" s="439"/>
      <c r="AK70" s="439"/>
      <c r="AL70" s="439"/>
      <c r="AM70" s="439"/>
      <c r="AN70" s="439"/>
      <c r="AO70" s="439"/>
    </row>
    <row r="71" spans="6:43" ht="16.5" thickBot="1" x14ac:dyDescent="0.3">
      <c r="F71" s="487" t="s">
        <v>102</v>
      </c>
      <c r="J71" s="439"/>
      <c r="Q71" s="439"/>
      <c r="R71" s="439"/>
      <c r="S71" s="439"/>
      <c r="T71" s="439"/>
      <c r="U71" s="520" t="s">
        <v>211</v>
      </c>
      <c r="V71" s="439"/>
      <c r="W71" s="439"/>
      <c r="X71" s="510">
        <f>X70*1.2</f>
        <v>0</v>
      </c>
      <c r="Y71" s="511">
        <f>Y70</f>
        <v>50000</v>
      </c>
      <c r="Z71" s="512">
        <f>Z70*1.2</f>
        <v>0</v>
      </c>
      <c r="AA71" s="510">
        <f>AA70*1.22</f>
        <v>0</v>
      </c>
      <c r="AB71" s="511">
        <f t="shared" ref="AB71" si="29">AB70</f>
        <v>74802</v>
      </c>
      <c r="AC71" s="512">
        <f t="shared" ref="AC71" si="30">AC70*1.22</f>
        <v>0</v>
      </c>
      <c r="AD71" s="510">
        <f>AD70*1.22</f>
        <v>0</v>
      </c>
      <c r="AE71" s="511">
        <f t="shared" ref="AE71" si="31">AE70</f>
        <v>60692</v>
      </c>
      <c r="AF71" s="512">
        <f t="shared" ref="AF71" si="32">AF70*1.22</f>
        <v>0</v>
      </c>
      <c r="AG71" s="439"/>
      <c r="AH71" s="439"/>
      <c r="AI71" s="439"/>
      <c r="AJ71" s="439"/>
      <c r="AK71" s="439"/>
      <c r="AL71" s="439"/>
      <c r="AM71" s="439"/>
      <c r="AN71" s="439"/>
      <c r="AO71" s="439"/>
    </row>
    <row r="72" spans="6:43" x14ac:dyDescent="0.25">
      <c r="F72" s="487" t="s">
        <v>226</v>
      </c>
      <c r="J72" s="439"/>
      <c r="K72" s="521"/>
      <c r="L72" s="521"/>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row>
    <row r="73" spans="6:43" x14ac:dyDescent="0.25">
      <c r="F73" s="487" t="s">
        <v>227</v>
      </c>
      <c r="J73" s="439"/>
      <c r="K73" s="521"/>
      <c r="L73" s="521"/>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row>
    <row r="74" spans="6:43" x14ac:dyDescent="0.25">
      <c r="F74" s="487" t="s">
        <v>228</v>
      </c>
      <c r="J74" s="439"/>
      <c r="K74" s="521"/>
      <c r="L74" s="521"/>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row>
    <row r="75" spans="6:43" x14ac:dyDescent="0.25">
      <c r="F75" s="487" t="s">
        <v>229</v>
      </c>
      <c r="J75" s="439"/>
      <c r="K75" s="521"/>
      <c r="L75" s="521"/>
      <c r="Q75" s="439"/>
      <c r="R75" s="439"/>
      <c r="S75" s="439"/>
      <c r="T75" s="439"/>
      <c r="U75" s="513" t="s">
        <v>230</v>
      </c>
      <c r="V75" s="439"/>
      <c r="W75" s="439"/>
      <c r="X75" s="439"/>
      <c r="Y75" s="439"/>
      <c r="Z75" s="439"/>
      <c r="AA75" s="439"/>
      <c r="AB75" s="439"/>
      <c r="AC75" s="439"/>
      <c r="AD75" s="439"/>
      <c r="AE75" s="439"/>
      <c r="AF75" s="439"/>
      <c r="AG75" s="439"/>
      <c r="AH75" s="439"/>
      <c r="AI75" s="439"/>
      <c r="AJ75" s="439"/>
      <c r="AK75" s="439"/>
      <c r="AL75" s="439"/>
      <c r="AM75" s="439"/>
      <c r="AN75" s="439"/>
      <c r="AO75" s="439"/>
    </row>
    <row r="76" spans="6:43" x14ac:dyDescent="0.25">
      <c r="F76" s="487" t="s">
        <v>231</v>
      </c>
      <c r="J76" s="439"/>
      <c r="K76" s="521"/>
      <c r="L76" s="521"/>
      <c r="Q76" s="439"/>
      <c r="R76" s="439"/>
      <c r="S76" s="439"/>
      <c r="T76" s="439"/>
      <c r="U76" s="439" t="s">
        <v>7</v>
      </c>
      <c r="V76" s="439"/>
      <c r="W76" s="439"/>
      <c r="X76" s="514">
        <f t="shared" ref="X76:AF76" si="33">SUMIFS(X$35:X$57, $G$35:$G$57, $G$61, $P$35:$P$57, "Baaseelarve")+SUMIFS(X$35:X$57, $G$35:$G$57, $G$61, $P$35:$P$57, "Muu rahastus")+SUMIFS(X$35:X$57, $G$35:$G$57, $G$61, $P$35:$P$57, "Reserv (SR)")+SUMIFS(X$35:X$57, $G$35:$G$57, $G$61, $P$35:$P$57, "RRF")+SUMIFS(X$35:X$57, $G$35:$G$57, $G$61, $P$35:$P$57, "SF 14-20 (töös olev projekt)")</f>
        <v>0</v>
      </c>
      <c r="Y76" s="515">
        <f t="shared" si="33"/>
        <v>0</v>
      </c>
      <c r="Z76" s="522">
        <f t="shared" si="33"/>
        <v>0</v>
      </c>
      <c r="AA76" s="514">
        <f t="shared" si="33"/>
        <v>0</v>
      </c>
      <c r="AB76" s="515">
        <f t="shared" si="33"/>
        <v>0</v>
      </c>
      <c r="AC76" s="516">
        <f t="shared" si="33"/>
        <v>0</v>
      </c>
      <c r="AD76" s="523">
        <f t="shared" si="33"/>
        <v>0</v>
      </c>
      <c r="AE76" s="515">
        <f t="shared" si="33"/>
        <v>0</v>
      </c>
      <c r="AF76" s="516">
        <f t="shared" si="33"/>
        <v>0</v>
      </c>
      <c r="AG76" s="439"/>
      <c r="AH76" s="439"/>
      <c r="AI76" s="439"/>
      <c r="AJ76" s="439"/>
      <c r="AK76" s="439"/>
      <c r="AL76" s="439"/>
      <c r="AM76" s="439"/>
      <c r="AN76" s="439"/>
      <c r="AO76" s="439"/>
    </row>
    <row r="77" spans="6:43" ht="16.5" thickBot="1" x14ac:dyDescent="0.3">
      <c r="F77" s="487" t="s">
        <v>232</v>
      </c>
      <c r="J77" s="439"/>
      <c r="K77" s="521"/>
      <c r="L77" s="521"/>
      <c r="Q77" s="439"/>
      <c r="R77" s="439"/>
      <c r="S77" s="439"/>
      <c r="T77" s="439"/>
      <c r="U77" s="520" t="s">
        <v>211</v>
      </c>
      <c r="V77" s="439"/>
      <c r="W77" s="439"/>
      <c r="X77" s="510">
        <f>X76*1.2</f>
        <v>0</v>
      </c>
      <c r="Y77" s="511">
        <f>Y76</f>
        <v>0</v>
      </c>
      <c r="Z77" s="524">
        <f>Z76*1.2</f>
        <v>0</v>
      </c>
      <c r="AA77" s="510">
        <f>AA76*1.22</f>
        <v>0</v>
      </c>
      <c r="AB77" s="511">
        <f t="shared" ref="AB77" si="34">AB76</f>
        <v>0</v>
      </c>
      <c r="AC77" s="512">
        <f t="shared" ref="AC77" si="35">AC76*1.22</f>
        <v>0</v>
      </c>
      <c r="AD77" s="525">
        <f>AD76*1.22</f>
        <v>0</v>
      </c>
      <c r="AE77" s="511">
        <f t="shared" ref="AE77" si="36">AE76</f>
        <v>0</v>
      </c>
      <c r="AF77" s="512">
        <f t="shared" ref="AF77" si="37">AF76*1.22</f>
        <v>0</v>
      </c>
      <c r="AG77" s="439"/>
      <c r="AH77" s="439"/>
      <c r="AI77" s="439"/>
      <c r="AJ77" s="439"/>
      <c r="AK77" s="439"/>
      <c r="AL77" s="439"/>
      <c r="AM77" s="439"/>
      <c r="AN77" s="439"/>
      <c r="AO77" s="439"/>
    </row>
    <row r="78" spans="6:43" x14ac:dyDescent="0.25">
      <c r="F78" s="487" t="s">
        <v>233</v>
      </c>
      <c r="J78" s="439"/>
      <c r="K78" s="521"/>
      <c r="L78" s="521"/>
      <c r="Q78" s="439"/>
      <c r="R78" s="439"/>
      <c r="S78" s="439"/>
      <c r="T78" s="439"/>
      <c r="U78" s="439"/>
      <c r="V78" s="439"/>
      <c r="W78" s="439"/>
      <c r="X78" s="521"/>
      <c r="Y78" s="521"/>
      <c r="Z78" s="521"/>
      <c r="AA78" s="521"/>
      <c r="AB78" s="521"/>
      <c r="AC78" s="521"/>
      <c r="AD78" s="521"/>
      <c r="AE78" s="521"/>
      <c r="AF78" s="521"/>
      <c r="AG78" s="439"/>
      <c r="AH78" s="439"/>
      <c r="AI78" s="439"/>
      <c r="AJ78" s="439"/>
      <c r="AK78" s="439"/>
      <c r="AL78" s="439"/>
      <c r="AM78" s="439"/>
      <c r="AN78" s="439"/>
      <c r="AO78" s="439"/>
    </row>
    <row r="79" spans="6:43" x14ac:dyDescent="0.25">
      <c r="F79" s="487" t="s">
        <v>132</v>
      </c>
      <c r="J79" s="439"/>
      <c r="Q79" s="439"/>
      <c r="R79" s="439"/>
      <c r="S79" s="439"/>
      <c r="T79" s="439"/>
      <c r="U79" s="439" t="s">
        <v>8</v>
      </c>
      <c r="V79" s="439"/>
      <c r="W79" s="439"/>
      <c r="X79" s="514">
        <f t="shared" ref="X79:AF79" si="38">SUMIFS(X$35:X$57, $G$35:$G$57, $G$62, $P$35:$P$57, "Baaseelarve")+SUMIFS(X$35:X$57, $G$35:$G$57, $G$62, $P$35:$P$57, "Muu rahastus")+SUMIFS(X$35:X$57, $G$35:$G$57, $G$62, $P$35:$P$57, "Reserv (SR)")+SUMIFS(X$35:X$57, $G$35:$G$57, $G$62, $P$35:$P$57, "RRF")+SUMIFS(X$35:X$57, $G$35:$G$57, $G$62, $P$35:$P$57, "SF 14-20 (töös olev projekt)")</f>
        <v>0</v>
      </c>
      <c r="Y79" s="515">
        <f t="shared" si="38"/>
        <v>0</v>
      </c>
      <c r="Z79" s="522">
        <f t="shared" si="38"/>
        <v>0</v>
      </c>
      <c r="AA79" s="514">
        <f t="shared" si="38"/>
        <v>0</v>
      </c>
      <c r="AB79" s="515">
        <f t="shared" si="38"/>
        <v>0</v>
      </c>
      <c r="AC79" s="516">
        <f t="shared" si="38"/>
        <v>0</v>
      </c>
      <c r="AD79" s="523">
        <f t="shared" si="38"/>
        <v>0</v>
      </c>
      <c r="AE79" s="515">
        <f t="shared" si="38"/>
        <v>0</v>
      </c>
      <c r="AF79" s="516">
        <f t="shared" si="38"/>
        <v>0</v>
      </c>
      <c r="AG79" s="439"/>
      <c r="AH79" s="439"/>
      <c r="AI79" s="439"/>
      <c r="AJ79" s="439"/>
      <c r="AK79" s="439"/>
      <c r="AL79" s="439"/>
      <c r="AM79" s="439"/>
      <c r="AN79" s="439"/>
      <c r="AO79" s="439"/>
    </row>
    <row r="80" spans="6:43" ht="16.5" thickBot="1" x14ac:dyDescent="0.3">
      <c r="I80" s="438"/>
      <c r="J80" s="439"/>
      <c r="Q80" s="439"/>
      <c r="R80" s="439"/>
      <c r="S80" s="439"/>
      <c r="T80" s="439"/>
      <c r="U80" s="520" t="s">
        <v>211</v>
      </c>
      <c r="V80" s="439"/>
      <c r="W80" s="439"/>
      <c r="X80" s="510">
        <f>X79*1.2</f>
        <v>0</v>
      </c>
      <c r="Y80" s="511">
        <f>Y79</f>
        <v>0</v>
      </c>
      <c r="Z80" s="524">
        <f>Z79*1.2</f>
        <v>0</v>
      </c>
      <c r="AA80" s="510">
        <f>AA79*1.22</f>
        <v>0</v>
      </c>
      <c r="AB80" s="511">
        <f t="shared" ref="AB80" si="39">AB79</f>
        <v>0</v>
      </c>
      <c r="AC80" s="512">
        <f t="shared" ref="AC80" si="40">AC79*1.22</f>
        <v>0</v>
      </c>
      <c r="AD80" s="525">
        <f>AD79*1.22</f>
        <v>0</v>
      </c>
      <c r="AE80" s="511">
        <f t="shared" ref="AE80" si="41">AE79</f>
        <v>0</v>
      </c>
      <c r="AF80" s="512">
        <f t="shared" ref="AF80" si="42">AF79*1.22</f>
        <v>0</v>
      </c>
      <c r="AG80" s="439"/>
      <c r="AH80" s="439"/>
      <c r="AI80" s="439"/>
      <c r="AJ80" s="439"/>
      <c r="AK80" s="439"/>
      <c r="AL80" s="439"/>
      <c r="AM80" s="439"/>
      <c r="AN80" s="439"/>
      <c r="AO80" s="439"/>
    </row>
    <row r="81" spans="8:43" ht="16.5" thickBot="1" x14ac:dyDescent="0.3">
      <c r="H81" s="438"/>
      <c r="J81" s="439"/>
      <c r="X81" s="740"/>
      <c r="Y81" s="740"/>
      <c r="Z81" s="740"/>
      <c r="AA81" s="740"/>
      <c r="AB81" s="740"/>
      <c r="AC81" s="740"/>
      <c r="AD81" s="740"/>
      <c r="AE81" s="740"/>
      <c r="AF81" s="740"/>
    </row>
    <row r="82" spans="8:43" x14ac:dyDescent="0.25">
      <c r="U82" s="738" t="s">
        <v>222</v>
      </c>
      <c r="X82" s="792">
        <f t="shared" ref="X82:AF82" si="43">SUMIFS(X$35:X$57, $G$35:$G$57, $G$63, $P$35:$P$57, "Baaseelarve")+SUMIFS(X$35:X$57, $G$35:$G$57, $G$63, $P$35:$P$57, "Muu rahastus")+SUMIFS(X$35:X$57, $G$35:$G$57, $G$63, $P$35:$P$57, "Reserv (SR)")+SUMIFS(X$35:X$57, $G$35:$G$57, $G$63, $P$35:$P$57, "RRF")+SUMIFS(X$35:X$57, $G$35:$G$57, $G$63, $P$35:$P$57, "SF 14-20 (töös olev projekt)")</f>
        <v>0</v>
      </c>
      <c r="Y82" s="793">
        <f t="shared" si="43"/>
        <v>0</v>
      </c>
      <c r="Z82" s="798">
        <f t="shared" si="43"/>
        <v>0</v>
      </c>
      <c r="AA82" s="792">
        <f t="shared" si="43"/>
        <v>0</v>
      </c>
      <c r="AB82" s="793">
        <f t="shared" si="43"/>
        <v>0</v>
      </c>
      <c r="AC82" s="794">
        <f t="shared" si="43"/>
        <v>0</v>
      </c>
      <c r="AD82" s="799">
        <f t="shared" si="43"/>
        <v>0</v>
      </c>
      <c r="AE82" s="793">
        <f t="shared" si="43"/>
        <v>0</v>
      </c>
      <c r="AF82" s="794">
        <f t="shared" si="43"/>
        <v>0</v>
      </c>
    </row>
    <row r="83" spans="8:43" ht="16.5" thickBot="1" x14ac:dyDescent="0.3">
      <c r="U83" s="800" t="s">
        <v>211</v>
      </c>
      <c r="X83" s="801">
        <f>X82*1.2</f>
        <v>0</v>
      </c>
      <c r="Y83" s="802">
        <f>Y82</f>
        <v>0</v>
      </c>
      <c r="Z83" s="803">
        <f>Z82*1.2</f>
        <v>0</v>
      </c>
      <c r="AA83" s="801">
        <f>AA82*1.22</f>
        <v>0</v>
      </c>
      <c r="AB83" s="802">
        <f t="shared" ref="AB83" si="44">AB82</f>
        <v>0</v>
      </c>
      <c r="AC83" s="804">
        <f t="shared" ref="AC83" si="45">AC82*1.22</f>
        <v>0</v>
      </c>
      <c r="AD83" s="805">
        <f>AD82*1.22</f>
        <v>0</v>
      </c>
      <c r="AE83" s="802">
        <f t="shared" ref="AE83" si="46">AE82</f>
        <v>0</v>
      </c>
      <c r="AF83" s="804">
        <f t="shared" ref="AF83" si="47">AF82*1.22</f>
        <v>0</v>
      </c>
    </row>
    <row r="84" spans="8:43" ht="16.5" thickBot="1" x14ac:dyDescent="0.3">
      <c r="O84" s="469"/>
      <c r="P84" s="664"/>
      <c r="Q84" s="664"/>
      <c r="R84" s="806"/>
      <c r="S84" s="806"/>
      <c r="X84" s="740"/>
      <c r="Y84" s="740"/>
      <c r="Z84" s="740"/>
      <c r="AA84" s="740"/>
      <c r="AB84" s="740"/>
      <c r="AC84" s="740"/>
      <c r="AD84" s="740"/>
      <c r="AE84" s="740"/>
      <c r="AF84" s="740"/>
    </row>
    <row r="85" spans="8:43" x14ac:dyDescent="0.25">
      <c r="P85" s="665"/>
      <c r="Q85" s="737"/>
      <c r="R85" s="807"/>
      <c r="S85" s="807"/>
      <c r="U85" s="738" t="s">
        <v>10</v>
      </c>
      <c r="X85" s="792">
        <f t="shared" ref="X85:AF85" si="48">SUMIFS(X$35:X$57, $G$35:$G$57, $G$64, $P$35:$P$57, "Baaseelarve")+SUMIFS(X$35:X$57, $G$35:$G$57, $G$64, $P$35:$P$57, "Muu rahastus")+SUMIFS(X$35:X$57, $G$35:$G$57, $G$64, $P$35:$P$57, "Reserv (SR)")+SUMIFS(X$35:X$57, $G$35:$G$57, $G$64, $P$35:$P$57, "RRF")+SUMIFS(X$35:X$57, $G$35:$G$57, $G$64, $P$35:$P$57, "SF 14-20 (töös olev projekt)")</f>
        <v>0</v>
      </c>
      <c r="Y85" s="793">
        <f t="shared" si="48"/>
        <v>0</v>
      </c>
      <c r="Z85" s="798">
        <f t="shared" si="48"/>
        <v>0</v>
      </c>
      <c r="AA85" s="792">
        <f t="shared" si="48"/>
        <v>0</v>
      </c>
      <c r="AB85" s="793">
        <f t="shared" si="48"/>
        <v>0</v>
      </c>
      <c r="AC85" s="794">
        <f t="shared" si="48"/>
        <v>0</v>
      </c>
      <c r="AD85" s="799">
        <f t="shared" si="48"/>
        <v>0</v>
      </c>
      <c r="AE85" s="793">
        <f t="shared" si="48"/>
        <v>0</v>
      </c>
      <c r="AF85" s="794">
        <f t="shared" si="48"/>
        <v>0</v>
      </c>
      <c r="AP85" s="663"/>
      <c r="AQ85" s="663"/>
    </row>
    <row r="86" spans="8:43" ht="16.5" thickBot="1" x14ac:dyDescent="0.3">
      <c r="U86" s="800" t="s">
        <v>211</v>
      </c>
      <c r="X86" s="801">
        <f>X85*1.2</f>
        <v>0</v>
      </c>
      <c r="Y86" s="802">
        <f>Y85</f>
        <v>0</v>
      </c>
      <c r="Z86" s="803">
        <f>Z85*1.2</f>
        <v>0</v>
      </c>
      <c r="AA86" s="801">
        <f>AA85*1.22</f>
        <v>0</v>
      </c>
      <c r="AB86" s="802">
        <f t="shared" ref="AB86" si="49">AB85</f>
        <v>0</v>
      </c>
      <c r="AC86" s="804">
        <f t="shared" ref="AC86" si="50">AC85*1.22</f>
        <v>0</v>
      </c>
      <c r="AD86" s="805">
        <f>AD85*1.22</f>
        <v>0</v>
      </c>
      <c r="AE86" s="802">
        <f t="shared" ref="AE86" si="51">AE85</f>
        <v>0</v>
      </c>
      <c r="AF86" s="804">
        <f t="shared" ref="AF86" si="52">AF85*1.22</f>
        <v>0</v>
      </c>
    </row>
    <row r="87" spans="8:43" x14ac:dyDescent="0.25">
      <c r="X87" s="740"/>
      <c r="Y87" s="740"/>
      <c r="Z87" s="740"/>
      <c r="AA87" s="740"/>
      <c r="AB87" s="740"/>
      <c r="AC87" s="740"/>
      <c r="AD87" s="740"/>
      <c r="AE87" s="740"/>
      <c r="AF87" s="740"/>
    </row>
    <row r="88" spans="8:43" x14ac:dyDescent="0.25">
      <c r="X88" s="740"/>
      <c r="Y88" s="740"/>
      <c r="Z88" s="740"/>
      <c r="AA88" s="740"/>
      <c r="AB88" s="740"/>
      <c r="AC88" s="740"/>
      <c r="AD88" s="740"/>
      <c r="AE88" s="740"/>
      <c r="AF88" s="740"/>
    </row>
    <row r="89" spans="8:43" x14ac:dyDescent="0.25">
      <c r="X89" s="740"/>
      <c r="Y89" s="740"/>
      <c r="Z89" s="740"/>
      <c r="AA89" s="740"/>
      <c r="AB89" s="740"/>
      <c r="AC89" s="740"/>
      <c r="AD89" s="740"/>
      <c r="AE89" s="740"/>
      <c r="AF89" s="740"/>
    </row>
    <row r="90" spans="8:43" ht="16.5" thickBot="1" x14ac:dyDescent="0.3">
      <c r="U90" s="808" t="s">
        <v>214</v>
      </c>
    </row>
    <row r="91" spans="8:43" x14ac:dyDescent="0.25">
      <c r="U91" s="738" t="s">
        <v>7</v>
      </c>
      <c r="X91" s="792">
        <f t="shared" ref="X91:AF91" si="53">SUMIFS(X$35:X$57,$G$35:$G$57,$G$61,$P$35:$P$57,$P$63)</f>
        <v>0</v>
      </c>
      <c r="Y91" s="793">
        <f t="shared" si="53"/>
        <v>0</v>
      </c>
      <c r="Z91" s="798">
        <f t="shared" si="53"/>
        <v>0</v>
      </c>
      <c r="AA91" s="792">
        <f t="shared" si="53"/>
        <v>0</v>
      </c>
      <c r="AB91" s="793">
        <f t="shared" si="53"/>
        <v>0</v>
      </c>
      <c r="AC91" s="794">
        <f t="shared" si="53"/>
        <v>0</v>
      </c>
      <c r="AD91" s="799">
        <f t="shared" si="53"/>
        <v>0</v>
      </c>
      <c r="AE91" s="793">
        <f t="shared" si="53"/>
        <v>0</v>
      </c>
      <c r="AF91" s="794">
        <f t="shared" si="53"/>
        <v>0</v>
      </c>
    </row>
    <row r="92" spans="8:43" ht="16.5" thickBot="1" x14ac:dyDescent="0.3">
      <c r="U92" s="800" t="s">
        <v>211</v>
      </c>
      <c r="X92" s="801">
        <f>X91*1.2</f>
        <v>0</v>
      </c>
      <c r="Y92" s="802">
        <f>Y91</f>
        <v>0</v>
      </c>
      <c r="Z92" s="803">
        <f>Z91*1.2</f>
        <v>0</v>
      </c>
      <c r="AA92" s="801">
        <f>AA91*1.22</f>
        <v>0</v>
      </c>
      <c r="AB92" s="802">
        <f t="shared" ref="AB92" si="54">AB91</f>
        <v>0</v>
      </c>
      <c r="AC92" s="804">
        <f t="shared" ref="AC92" si="55">AC91*1.22</f>
        <v>0</v>
      </c>
      <c r="AD92" s="805">
        <f>AD91*1.22</f>
        <v>0</v>
      </c>
      <c r="AE92" s="802">
        <f t="shared" ref="AE92" si="56">AE91</f>
        <v>0</v>
      </c>
      <c r="AF92" s="804">
        <f t="shared" ref="AF92" si="57">AF91*1.22</f>
        <v>0</v>
      </c>
    </row>
    <row r="93" spans="8:43" ht="16.5" thickBot="1" x14ac:dyDescent="0.3">
      <c r="X93" s="740"/>
      <c r="Y93" s="740"/>
      <c r="Z93" s="740"/>
      <c r="AA93" s="740"/>
      <c r="AB93" s="740"/>
      <c r="AC93" s="740"/>
      <c r="AD93" s="740"/>
      <c r="AE93" s="740"/>
      <c r="AF93" s="740"/>
    </row>
    <row r="94" spans="8:43" x14ac:dyDescent="0.25">
      <c r="U94" s="738" t="s">
        <v>8</v>
      </c>
      <c r="X94" s="792">
        <f t="shared" ref="X94:AF94" si="58">SUMIFS(X$35:X$57,$G$35:$G$57,$G$62,$P$35:$P$57,$P$63)</f>
        <v>0</v>
      </c>
      <c r="Y94" s="793">
        <f t="shared" si="58"/>
        <v>0</v>
      </c>
      <c r="Z94" s="798">
        <f t="shared" si="58"/>
        <v>0</v>
      </c>
      <c r="AA94" s="792">
        <f t="shared" si="58"/>
        <v>0</v>
      </c>
      <c r="AB94" s="793">
        <f t="shared" si="58"/>
        <v>0</v>
      </c>
      <c r="AC94" s="794">
        <f t="shared" si="58"/>
        <v>0</v>
      </c>
      <c r="AD94" s="799">
        <f t="shared" si="58"/>
        <v>0</v>
      </c>
      <c r="AE94" s="793">
        <f t="shared" si="58"/>
        <v>0</v>
      </c>
      <c r="AF94" s="794">
        <f t="shared" si="58"/>
        <v>0</v>
      </c>
    </row>
    <row r="95" spans="8:43" ht="16.5" thickBot="1" x14ac:dyDescent="0.3">
      <c r="U95" s="800" t="s">
        <v>211</v>
      </c>
      <c r="X95" s="801">
        <f>X94*1.2</f>
        <v>0</v>
      </c>
      <c r="Y95" s="802">
        <f>Y94</f>
        <v>0</v>
      </c>
      <c r="Z95" s="803">
        <f>Z94*1.2</f>
        <v>0</v>
      </c>
      <c r="AA95" s="801">
        <f>AA94*1.22</f>
        <v>0</v>
      </c>
      <c r="AB95" s="802">
        <f t="shared" ref="AB95" si="59">AB94</f>
        <v>0</v>
      </c>
      <c r="AC95" s="804">
        <f t="shared" ref="AC95" si="60">AC94*1.22</f>
        <v>0</v>
      </c>
      <c r="AD95" s="805">
        <f>AD94*1.22</f>
        <v>0</v>
      </c>
      <c r="AE95" s="802">
        <f t="shared" ref="AE95" si="61">AE94</f>
        <v>0</v>
      </c>
      <c r="AF95" s="804">
        <f t="shared" ref="AF95" si="62">AF94*1.22</f>
        <v>0</v>
      </c>
    </row>
    <row r="96" spans="8:43" ht="16.5" thickBot="1" x14ac:dyDescent="0.3">
      <c r="X96" s="740"/>
      <c r="Y96" s="740"/>
      <c r="Z96" s="740"/>
      <c r="AA96" s="740"/>
      <c r="AB96" s="740"/>
      <c r="AC96" s="740"/>
      <c r="AD96" s="740"/>
      <c r="AE96" s="740"/>
      <c r="AF96" s="740"/>
    </row>
    <row r="97" spans="21:32" ht="16.5" thickBot="1" x14ac:dyDescent="0.3">
      <c r="U97" s="738" t="s">
        <v>222</v>
      </c>
      <c r="X97" s="792">
        <f t="shared" ref="X97:AF97" si="63">SUMIFS(X$35:X$57,$G$35:$G$57,$G$63,$P$35:$P$57,$P$63)</f>
        <v>0</v>
      </c>
      <c r="Y97" s="793">
        <f t="shared" si="63"/>
        <v>0</v>
      </c>
      <c r="Z97" s="798">
        <f t="shared" si="63"/>
        <v>0</v>
      </c>
      <c r="AA97" s="809">
        <f t="shared" si="63"/>
        <v>0</v>
      </c>
      <c r="AB97" s="810">
        <f t="shared" si="63"/>
        <v>0</v>
      </c>
      <c r="AC97" s="811">
        <f t="shared" si="63"/>
        <v>0</v>
      </c>
      <c r="AD97" s="799">
        <f t="shared" si="63"/>
        <v>0</v>
      </c>
      <c r="AE97" s="793">
        <f t="shared" si="63"/>
        <v>0</v>
      </c>
      <c r="AF97" s="794">
        <f t="shared" si="63"/>
        <v>0</v>
      </c>
    </row>
    <row r="98" spans="21:32" ht="16.5" thickBot="1" x14ac:dyDescent="0.3">
      <c r="U98" s="800" t="s">
        <v>211</v>
      </c>
      <c r="X98" s="801">
        <f>X97*1.2</f>
        <v>0</v>
      </c>
      <c r="Y98" s="802">
        <f>Y97</f>
        <v>0</v>
      </c>
      <c r="Z98" s="802">
        <f>Z97*1.2</f>
        <v>0</v>
      </c>
      <c r="AA98" s="812">
        <f>AA97*1.22</f>
        <v>0</v>
      </c>
      <c r="AB98" s="812">
        <f t="shared" ref="AB98" si="64">AB97</f>
        <v>0</v>
      </c>
      <c r="AC98" s="812">
        <f t="shared" ref="AC98" si="65">AC97*1.22</f>
        <v>0</v>
      </c>
      <c r="AD98" s="802">
        <f>AD97*1.22</f>
        <v>0</v>
      </c>
      <c r="AE98" s="802">
        <f t="shared" ref="AE98" si="66">AE97</f>
        <v>0</v>
      </c>
      <c r="AF98" s="804">
        <f t="shared" ref="AF98" si="67">AF97*1.22</f>
        <v>0</v>
      </c>
    </row>
    <row r="99" spans="21:32" ht="16.5" thickBot="1" x14ac:dyDescent="0.3">
      <c r="X99" s="740"/>
      <c r="Y99" s="740"/>
      <c r="Z99" s="740"/>
      <c r="AA99" s="740"/>
      <c r="AB99" s="740"/>
      <c r="AC99" s="740"/>
      <c r="AD99" s="740"/>
      <c r="AE99" s="740"/>
      <c r="AF99" s="740"/>
    </row>
    <row r="100" spans="21:32" x14ac:dyDescent="0.25">
      <c r="U100" s="738" t="s">
        <v>10</v>
      </c>
      <c r="X100" s="792">
        <f t="shared" ref="X100:AF100" si="68">SUMIFS(X$35:X$57,$G$35:$G$57,$G$64,$P$35:$P$57,$P$63)</f>
        <v>0</v>
      </c>
      <c r="Y100" s="793">
        <f t="shared" si="68"/>
        <v>0</v>
      </c>
      <c r="Z100" s="798">
        <f t="shared" si="68"/>
        <v>0</v>
      </c>
      <c r="AA100" s="792">
        <f t="shared" si="68"/>
        <v>0</v>
      </c>
      <c r="AB100" s="793">
        <f t="shared" si="68"/>
        <v>0</v>
      </c>
      <c r="AC100" s="794">
        <f t="shared" si="68"/>
        <v>0</v>
      </c>
      <c r="AD100" s="799">
        <f t="shared" si="68"/>
        <v>0</v>
      </c>
      <c r="AE100" s="793">
        <f t="shared" si="68"/>
        <v>0</v>
      </c>
      <c r="AF100" s="794">
        <f t="shared" si="68"/>
        <v>0</v>
      </c>
    </row>
    <row r="101" spans="21:32" ht="16.5" thickBot="1" x14ac:dyDescent="0.3">
      <c r="U101" s="800" t="s">
        <v>211</v>
      </c>
      <c r="X101" s="801">
        <f>X100*1.2</f>
        <v>0</v>
      </c>
      <c r="Y101" s="802">
        <f>Y100</f>
        <v>0</v>
      </c>
      <c r="Z101" s="803">
        <f>Z100*1.2</f>
        <v>0</v>
      </c>
      <c r="AA101" s="801">
        <f>AA100*1.22</f>
        <v>0</v>
      </c>
      <c r="AB101" s="802">
        <f t="shared" ref="AB101" si="69">AB100</f>
        <v>0</v>
      </c>
      <c r="AC101" s="804">
        <f t="shared" ref="AC101" si="70">AC100*1.22</f>
        <v>0</v>
      </c>
      <c r="AD101" s="805">
        <f>AD100*1.22</f>
        <v>0</v>
      </c>
      <c r="AE101" s="802">
        <f t="shared" ref="AE101" si="71">AE100</f>
        <v>0</v>
      </c>
      <c r="AF101" s="804">
        <f t="shared" ref="AF101" si="72">AF100*1.22</f>
        <v>0</v>
      </c>
    </row>
  </sheetData>
  <sheetProtection algorithmName="SHA-512" hashValue="MfHdKXeEmij0yetPyOW3l3RYvZS0+4Dzrz6GBJLfzEjkZsBQsmHV4hQAtQizWe0fBTnYd6jQUSWpR4MLh54bVg==" saltValue="gtVOT0yt2e2FKiH8bTiy6g==" spinCount="100000" sheet="1" sort="0" autoFilter="0"/>
  <autoFilter ref="A33:AT80" xr:uid="{26F4B7B0-4764-496D-9313-E7C884B0D6FB}">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autoFilter>
  <mergeCells count="22">
    <mergeCell ref="B2:E2"/>
    <mergeCell ref="G2:K2"/>
    <mergeCell ref="R34:W34"/>
    <mergeCell ref="K26:R26"/>
    <mergeCell ref="K19:R19"/>
    <mergeCell ref="K22:R22"/>
    <mergeCell ref="K25:R25"/>
    <mergeCell ref="K28:R28"/>
    <mergeCell ref="AM33:AO33"/>
    <mergeCell ref="X33:Z33"/>
    <mergeCell ref="AA33:AC33"/>
    <mergeCell ref="AD33:AF33"/>
    <mergeCell ref="AG33:AI33"/>
    <mergeCell ref="AJ33:AL33"/>
    <mergeCell ref="X32:AO32"/>
    <mergeCell ref="B17:I17"/>
    <mergeCell ref="B20:I20"/>
    <mergeCell ref="B26:I26"/>
    <mergeCell ref="B23:I23"/>
    <mergeCell ref="K20:R20"/>
    <mergeCell ref="K23:R23"/>
    <mergeCell ref="K17:R17"/>
  </mergeCells>
  <phoneticPr fontId="7" type="noConversion"/>
  <dataValidations count="9">
    <dataValidation type="list" allowBlank="1" showInputMessage="1" showErrorMessage="1" sqref="P82:P114 N81 O80 P31:P32" xr:uid="{258C40CF-7ED3-46AD-9DBE-9E35B6A83AF2}">
      <formula1>$R$19:$R$22</formula1>
    </dataValidation>
    <dataValidation type="list" allowBlank="1" showInputMessage="1" showErrorMessage="1" sqref="F81:F115 F31:F32" xr:uid="{6788E54C-2BD5-4096-85C2-888BADA7E1F2}">
      <formula1>$H$3:$K$3</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 type="list" allowBlank="1" showInputMessage="1" showErrorMessage="1" sqref="P35:P58" xr:uid="{D3E718C6-7AB1-4871-9C15-0A5014791696}">
      <formula1>$P$61:$P$67</formula1>
    </dataValidation>
    <dataValidation type="list" allowBlank="1" showInputMessage="1" showErrorMessage="1" sqref="AQ35:AQ58" xr:uid="{63C0EE7F-3A35-4E09-8468-E4CA0CE5603D}">
      <formula1>$AQ$61:$AQ$66</formula1>
    </dataValidation>
    <dataValidation type="list" allowBlank="1" showInputMessage="1" showErrorMessage="1" sqref="E35:E58" xr:uid="{4537B685-D58B-48A6-A09A-6E7B0652C7B9}">
      <formula1>$E$61:$E$63</formula1>
    </dataValidation>
    <dataValidation type="list" allowBlank="1" showInputMessage="1" showErrorMessage="1" sqref="F35:F58" xr:uid="{EA197172-5E41-4726-AB9F-2F1BADFCFFAC}">
      <formula1>$F$61:$F$79</formula1>
    </dataValidation>
    <dataValidation type="list" allowBlank="1" showInputMessage="1" showErrorMessage="1" sqref="G35:G58" xr:uid="{58A20634-86BF-47AA-9970-DA930862660F}">
      <formula1>$G$61:$G$64</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B2B9-401D-4259-9A59-CF329DE4CDB8}">
  <dimension ref="A1:R67"/>
  <sheetViews>
    <sheetView topLeftCell="A2" zoomScale="85" zoomScaleNormal="85" workbookViewId="0">
      <selection activeCell="D4" sqref="D4:D9"/>
    </sheetView>
  </sheetViews>
  <sheetFormatPr defaultRowHeight="15" x14ac:dyDescent="0.25"/>
  <cols>
    <col min="1" max="1" width="50.28515625" customWidth="1"/>
    <col min="2" max="2" width="28.5703125" customWidth="1"/>
    <col min="3" max="3" width="15.42578125" style="367" customWidth="1"/>
    <col min="4" max="4" width="25.42578125" customWidth="1"/>
    <col min="5" max="9" width="5.5703125" customWidth="1"/>
    <col min="10" max="10" width="12.42578125" customWidth="1"/>
    <col min="11" max="11" width="15.28515625" customWidth="1"/>
    <col min="12" max="12" width="16.5703125" style="367" customWidth="1"/>
    <col min="13" max="13" width="15.5703125" customWidth="1"/>
    <col min="14" max="14" width="24.42578125" customWidth="1"/>
    <col min="15" max="15" width="19.42578125" customWidth="1"/>
    <col min="16" max="16" width="12.42578125" customWidth="1"/>
    <col min="17" max="17" width="16.5703125" customWidth="1"/>
    <col min="18" max="19" width="21.28515625" customWidth="1"/>
  </cols>
  <sheetData>
    <row r="1" spans="1:18" s="346" customFormat="1" ht="75" x14ac:dyDescent="0.25">
      <c r="A1" s="414" t="s">
        <v>234</v>
      </c>
      <c r="B1" s="415" t="s">
        <v>235</v>
      </c>
      <c r="C1" s="415" t="s">
        <v>235</v>
      </c>
      <c r="D1" s="415" t="s">
        <v>236</v>
      </c>
      <c r="E1" s="916" t="s">
        <v>237</v>
      </c>
      <c r="F1" s="917"/>
      <c r="G1" s="917"/>
      <c r="H1" s="917"/>
      <c r="I1" s="917"/>
      <c r="J1" s="415" t="s">
        <v>238</v>
      </c>
      <c r="K1" s="415" t="s">
        <v>239</v>
      </c>
      <c r="L1" s="415" t="s">
        <v>240</v>
      </c>
      <c r="M1" s="415" t="s">
        <v>241</v>
      </c>
      <c r="N1" s="415" t="s">
        <v>242</v>
      </c>
      <c r="O1" s="415" t="s">
        <v>243</v>
      </c>
      <c r="P1" s="415" t="s">
        <v>244</v>
      </c>
      <c r="Q1" s="416" t="s">
        <v>245</v>
      </c>
    </row>
    <row r="2" spans="1:18" ht="34.35" customHeight="1" x14ac:dyDescent="0.25">
      <c r="A2" s="918" t="s">
        <v>246</v>
      </c>
      <c r="B2" s="908" t="s">
        <v>247</v>
      </c>
      <c r="C2" s="908" t="s">
        <v>248</v>
      </c>
      <c r="D2" s="908" t="s">
        <v>249</v>
      </c>
      <c r="E2" s="914" t="s">
        <v>250</v>
      </c>
      <c r="F2" s="920"/>
      <c r="G2" s="920"/>
      <c r="H2" s="920"/>
      <c r="I2" s="920"/>
      <c r="J2" s="908" t="s">
        <v>251</v>
      </c>
      <c r="K2" s="908" t="s">
        <v>252</v>
      </c>
      <c r="L2" s="912">
        <v>2025</v>
      </c>
      <c r="M2" s="914" t="s">
        <v>253</v>
      </c>
      <c r="N2" s="914" t="s">
        <v>254</v>
      </c>
      <c r="O2" s="908" t="s">
        <v>255</v>
      </c>
      <c r="P2" s="908" t="s">
        <v>256</v>
      </c>
      <c r="Q2" s="910" t="s">
        <v>257</v>
      </c>
    </row>
    <row r="3" spans="1:18" ht="27.6" customHeight="1" thickBot="1" x14ac:dyDescent="0.3">
      <c r="A3" s="919"/>
      <c r="B3" s="909"/>
      <c r="C3" s="909"/>
      <c r="D3" s="909"/>
      <c r="E3" s="558">
        <v>2023</v>
      </c>
      <c r="F3" s="558">
        <v>2024</v>
      </c>
      <c r="G3" s="558">
        <v>2025</v>
      </c>
      <c r="H3" s="558">
        <v>2026</v>
      </c>
      <c r="I3" s="558">
        <v>2027</v>
      </c>
      <c r="J3" s="909"/>
      <c r="K3" s="909"/>
      <c r="L3" s="913"/>
      <c r="M3" s="915"/>
      <c r="N3" s="915"/>
      <c r="O3" s="909"/>
      <c r="P3" s="909"/>
      <c r="Q3" s="911"/>
    </row>
    <row r="4" spans="1:18" ht="47.65" customHeight="1" thickBot="1" x14ac:dyDescent="0.3">
      <c r="A4" s="559" t="s">
        <v>258</v>
      </c>
      <c r="B4" s="691" t="s">
        <v>259</v>
      </c>
      <c r="C4" s="692">
        <v>3</v>
      </c>
      <c r="D4" s="691" t="s">
        <v>260</v>
      </c>
      <c r="E4" s="691" t="s">
        <v>261</v>
      </c>
      <c r="F4" s="691"/>
      <c r="G4" s="691"/>
      <c r="H4" s="691"/>
      <c r="I4" s="691"/>
      <c r="J4" s="693" t="s">
        <v>262</v>
      </c>
      <c r="K4" s="694" t="s">
        <v>263</v>
      </c>
      <c r="L4" s="708">
        <v>90131.359500000006</v>
      </c>
      <c r="M4" s="560" t="s">
        <v>264</v>
      </c>
      <c r="N4" s="560"/>
      <c r="O4" s="560" t="s">
        <v>265</v>
      </c>
      <c r="P4" s="561">
        <v>100</v>
      </c>
      <c r="Q4" s="562" t="s">
        <v>266</v>
      </c>
    </row>
    <row r="5" spans="1:18" ht="15.75" thickBot="1" x14ac:dyDescent="0.3">
      <c r="A5" s="563"/>
      <c r="B5" s="695" t="s">
        <v>259</v>
      </c>
      <c r="C5" s="696">
        <v>3</v>
      </c>
      <c r="D5" s="697" t="s">
        <v>267</v>
      </c>
      <c r="E5" s="697"/>
      <c r="F5" s="697" t="s">
        <v>261</v>
      </c>
      <c r="G5" s="697"/>
      <c r="H5" s="697"/>
      <c r="I5" s="697"/>
      <c r="J5" s="698" t="s">
        <v>262</v>
      </c>
      <c r="K5" s="698" t="s">
        <v>268</v>
      </c>
      <c r="L5" s="361">
        <v>67138.274384999997</v>
      </c>
      <c r="M5" s="564" t="s">
        <v>264</v>
      </c>
      <c r="N5" s="564"/>
      <c r="O5" s="564" t="s">
        <v>265</v>
      </c>
      <c r="P5" s="565">
        <v>100</v>
      </c>
      <c r="Q5" s="562" t="s">
        <v>266</v>
      </c>
    </row>
    <row r="6" spans="1:18" ht="15.75" thickBot="1" x14ac:dyDescent="0.3">
      <c r="A6" s="563"/>
      <c r="B6" s="699" t="s">
        <v>259</v>
      </c>
      <c r="C6" s="700">
        <v>2</v>
      </c>
      <c r="D6" s="701" t="s">
        <v>269</v>
      </c>
      <c r="E6" s="697"/>
      <c r="F6" s="697" t="s">
        <v>261</v>
      </c>
      <c r="G6" s="697"/>
      <c r="H6" s="697"/>
      <c r="I6" s="697"/>
      <c r="J6" s="698" t="s">
        <v>262</v>
      </c>
      <c r="K6" s="698" t="s">
        <v>268</v>
      </c>
      <c r="L6" s="349">
        <v>73850.184135000003</v>
      </c>
      <c r="M6" s="564" t="s">
        <v>264</v>
      </c>
      <c r="N6" s="564"/>
      <c r="O6" s="564" t="s">
        <v>265</v>
      </c>
      <c r="P6" s="565">
        <v>100</v>
      </c>
      <c r="Q6" s="562" t="s">
        <v>266</v>
      </c>
    </row>
    <row r="7" spans="1:18" s="73" customFormat="1" ht="15.75" thickBot="1" x14ac:dyDescent="0.3">
      <c r="A7" s="566"/>
      <c r="B7" s="699" t="s">
        <v>259</v>
      </c>
      <c r="C7" s="700">
        <v>3</v>
      </c>
      <c r="D7" s="701" t="s">
        <v>260</v>
      </c>
      <c r="E7" s="700"/>
      <c r="F7" s="702"/>
      <c r="G7" s="700" t="s">
        <v>261</v>
      </c>
      <c r="H7" s="700"/>
      <c r="I7" s="700"/>
      <c r="J7" s="703" t="s">
        <v>262</v>
      </c>
      <c r="K7" s="703" t="s">
        <v>268</v>
      </c>
      <c r="L7" s="361">
        <v>90131.359500000006</v>
      </c>
      <c r="M7" s="567" t="s">
        <v>264</v>
      </c>
      <c r="N7" s="568"/>
      <c r="O7" s="567" t="s">
        <v>265</v>
      </c>
      <c r="P7" s="569">
        <v>100</v>
      </c>
      <c r="Q7" s="562" t="s">
        <v>266</v>
      </c>
    </row>
    <row r="8" spans="1:18" s="73" customFormat="1" ht="15.75" thickBot="1" x14ac:dyDescent="0.3">
      <c r="A8" s="571"/>
      <c r="B8" s="699" t="s">
        <v>270</v>
      </c>
      <c r="C8" s="700">
        <v>2</v>
      </c>
      <c r="D8" s="701" t="s">
        <v>270</v>
      </c>
      <c r="E8" s="700" t="s">
        <v>261</v>
      </c>
      <c r="F8" s="700"/>
      <c r="G8" s="700"/>
      <c r="H8" s="700"/>
      <c r="I8" s="700"/>
      <c r="J8" s="703" t="s">
        <v>262</v>
      </c>
      <c r="K8" s="704" t="s">
        <v>263</v>
      </c>
      <c r="L8" s="361">
        <v>0</v>
      </c>
      <c r="M8" s="567" t="s">
        <v>264</v>
      </c>
      <c r="N8" s="568"/>
      <c r="O8" s="567" t="s">
        <v>265</v>
      </c>
      <c r="P8" s="569">
        <v>100</v>
      </c>
      <c r="Q8" s="562" t="s">
        <v>266</v>
      </c>
      <c r="R8" s="573"/>
    </row>
    <row r="9" spans="1:18" s="73" customFormat="1" ht="15.75" thickBot="1" x14ac:dyDescent="0.3">
      <c r="A9" s="571"/>
      <c r="B9" s="699" t="s">
        <v>271</v>
      </c>
      <c r="C9" s="700">
        <v>4</v>
      </c>
      <c r="D9" s="701" t="s">
        <v>272</v>
      </c>
      <c r="E9" s="700"/>
      <c r="F9" s="700" t="s">
        <v>261</v>
      </c>
      <c r="G9" s="700"/>
      <c r="H9" s="700"/>
      <c r="I9" s="700"/>
      <c r="J9" s="703" t="s">
        <v>262</v>
      </c>
      <c r="K9" s="704" t="s">
        <v>263</v>
      </c>
      <c r="L9" s="361">
        <v>114102.46575000002</v>
      </c>
      <c r="M9" s="567" t="s">
        <v>264</v>
      </c>
      <c r="N9" s="568"/>
      <c r="O9" s="567" t="s">
        <v>265</v>
      </c>
      <c r="P9" s="569">
        <v>100</v>
      </c>
      <c r="Q9" s="562" t="s">
        <v>266</v>
      </c>
      <c r="R9" s="573"/>
    </row>
    <row r="10" spans="1:18" s="73" customFormat="1" ht="15.75" thickBot="1" x14ac:dyDescent="0.3">
      <c r="A10" s="571"/>
      <c r="B10" s="695" t="s">
        <v>273</v>
      </c>
      <c r="C10" s="696">
        <v>3</v>
      </c>
      <c r="D10" s="697" t="s">
        <v>272</v>
      </c>
      <c r="E10" s="700"/>
      <c r="F10" s="700"/>
      <c r="G10" s="700"/>
      <c r="H10" s="700" t="s">
        <v>261</v>
      </c>
      <c r="I10" s="700"/>
      <c r="J10" s="703" t="s">
        <v>262</v>
      </c>
      <c r="K10" s="703" t="s">
        <v>268</v>
      </c>
      <c r="L10" s="361">
        <v>73294.054470000017</v>
      </c>
      <c r="M10" s="567" t="s">
        <v>264</v>
      </c>
      <c r="N10" s="568"/>
      <c r="O10" s="567" t="s">
        <v>265</v>
      </c>
      <c r="P10" s="569">
        <v>100</v>
      </c>
      <c r="Q10" s="562" t="s">
        <v>266</v>
      </c>
    </row>
    <row r="11" spans="1:18" s="73" customFormat="1" ht="15.75" thickBot="1" x14ac:dyDescent="0.3">
      <c r="A11" s="571"/>
      <c r="B11" s="705" t="s">
        <v>259</v>
      </c>
      <c r="C11" s="706">
        <v>3</v>
      </c>
      <c r="D11" s="707" t="s">
        <v>274</v>
      </c>
      <c r="E11" s="700"/>
      <c r="F11" s="700"/>
      <c r="G11" s="700"/>
      <c r="H11" s="700" t="s">
        <v>261</v>
      </c>
      <c r="I11" s="700"/>
      <c r="J11" s="703" t="s">
        <v>262</v>
      </c>
      <c r="K11" s="703" t="s">
        <v>268</v>
      </c>
      <c r="L11" s="709">
        <v>0</v>
      </c>
      <c r="M11" s="567" t="s">
        <v>264</v>
      </c>
      <c r="N11" s="568"/>
      <c r="O11" s="567" t="s">
        <v>265</v>
      </c>
      <c r="P11" s="569">
        <v>100</v>
      </c>
      <c r="Q11" s="562" t="s">
        <v>266</v>
      </c>
    </row>
    <row r="12" spans="1:18" s="73" customFormat="1" ht="18" customHeight="1" x14ac:dyDescent="0.25">
      <c r="A12" s="571"/>
      <c r="B12" s="574" t="s">
        <v>273</v>
      </c>
      <c r="C12" s="575">
        <v>4</v>
      </c>
      <c r="D12" s="574" t="s">
        <v>272</v>
      </c>
      <c r="E12" s="575" t="s">
        <v>261</v>
      </c>
      <c r="F12" s="569"/>
      <c r="G12" s="569"/>
      <c r="H12" s="569"/>
      <c r="I12" s="569"/>
      <c r="J12" s="574" t="s">
        <v>262</v>
      </c>
      <c r="K12" s="576" t="s">
        <v>275</v>
      </c>
      <c r="L12" s="577">
        <v>0</v>
      </c>
      <c r="M12" s="574" t="s">
        <v>276</v>
      </c>
      <c r="N12" s="578">
        <v>55000</v>
      </c>
      <c r="O12" s="576" t="s">
        <v>277</v>
      </c>
      <c r="P12" s="569"/>
      <c r="Q12" s="570" t="s">
        <v>266</v>
      </c>
    </row>
    <row r="13" spans="1:18" s="73" customFormat="1" ht="18" customHeight="1" x14ac:dyDescent="0.25">
      <c r="A13" s="571"/>
      <c r="B13" s="574" t="s">
        <v>273</v>
      </c>
      <c r="C13" s="575">
        <v>4</v>
      </c>
      <c r="D13" s="574" t="s">
        <v>272</v>
      </c>
      <c r="E13" s="575" t="s">
        <v>261</v>
      </c>
      <c r="F13" s="569"/>
      <c r="G13" s="569"/>
      <c r="H13" s="569"/>
      <c r="I13" s="569"/>
      <c r="J13" s="574" t="s">
        <v>262</v>
      </c>
      <c r="K13" s="576" t="s">
        <v>275</v>
      </c>
      <c r="L13" s="577">
        <v>0</v>
      </c>
      <c r="M13" s="574" t="s">
        <v>276</v>
      </c>
      <c r="N13" s="578">
        <v>55000</v>
      </c>
      <c r="O13" s="576" t="s">
        <v>277</v>
      </c>
      <c r="P13" s="569"/>
      <c r="Q13" s="570" t="s">
        <v>266</v>
      </c>
    </row>
    <row r="14" spans="1:18" s="73" customFormat="1" ht="17.100000000000001" customHeight="1" x14ac:dyDescent="0.25">
      <c r="A14" s="571"/>
      <c r="B14" s="579" t="s">
        <v>278</v>
      </c>
      <c r="C14" s="580">
        <v>2</v>
      </c>
      <c r="D14" s="579" t="s">
        <v>279</v>
      </c>
      <c r="E14" s="580"/>
      <c r="F14" s="580"/>
      <c r="G14" s="580"/>
      <c r="H14" s="580"/>
      <c r="I14" s="580"/>
      <c r="J14" s="579" t="s">
        <v>262</v>
      </c>
      <c r="K14" s="579" t="s">
        <v>263</v>
      </c>
      <c r="L14" s="581">
        <v>79481</v>
      </c>
      <c r="M14" s="579" t="s">
        <v>264</v>
      </c>
      <c r="N14" s="582"/>
      <c r="O14" s="579"/>
      <c r="P14" s="580">
        <v>100</v>
      </c>
      <c r="Q14" s="570" t="s">
        <v>191</v>
      </c>
    </row>
    <row r="15" spans="1:18" s="73" customFormat="1" ht="17.100000000000001" customHeight="1" x14ac:dyDescent="0.25">
      <c r="A15" s="571"/>
      <c r="B15" s="579" t="s">
        <v>280</v>
      </c>
      <c r="C15" s="580">
        <v>2</v>
      </c>
      <c r="D15" s="579" t="s">
        <v>281</v>
      </c>
      <c r="E15" s="580"/>
      <c r="F15" s="580"/>
      <c r="G15" s="580"/>
      <c r="H15" s="580"/>
      <c r="I15" s="580"/>
      <c r="J15" s="579" t="s">
        <v>262</v>
      </c>
      <c r="K15" s="579" t="s">
        <v>263</v>
      </c>
      <c r="L15" s="581">
        <v>60000</v>
      </c>
      <c r="M15" s="579" t="s">
        <v>282</v>
      </c>
      <c r="N15" s="582"/>
      <c r="O15" s="579"/>
      <c r="P15" s="580">
        <v>80</v>
      </c>
      <c r="Q15" s="570" t="s">
        <v>191</v>
      </c>
    </row>
    <row r="16" spans="1:18" s="73" customFormat="1" ht="17.100000000000001" customHeight="1" x14ac:dyDescent="0.25">
      <c r="A16" s="571"/>
      <c r="B16" s="579" t="s">
        <v>259</v>
      </c>
      <c r="C16" s="580">
        <v>2</v>
      </c>
      <c r="D16" s="579" t="s">
        <v>283</v>
      </c>
      <c r="E16" s="580"/>
      <c r="F16" s="580"/>
      <c r="G16" s="580"/>
      <c r="H16" s="580"/>
      <c r="I16" s="580"/>
      <c r="J16" s="579" t="s">
        <v>262</v>
      </c>
      <c r="K16" s="579" t="s">
        <v>263</v>
      </c>
      <c r="L16" s="351">
        <v>79584.039701400019</v>
      </c>
      <c r="M16" s="579" t="s">
        <v>264</v>
      </c>
      <c r="N16" s="582"/>
      <c r="O16" s="579"/>
      <c r="P16" s="580">
        <v>80</v>
      </c>
      <c r="Q16" s="570" t="s">
        <v>191</v>
      </c>
    </row>
    <row r="17" spans="1:17" s="73" customFormat="1" ht="19.899999999999999" customHeight="1" thickBot="1" x14ac:dyDescent="0.3">
      <c r="A17" s="583"/>
      <c r="B17" s="584" t="s">
        <v>284</v>
      </c>
      <c r="C17" s="585"/>
      <c r="D17" s="584" t="s">
        <v>285</v>
      </c>
      <c r="E17" s="585"/>
      <c r="F17" s="585"/>
      <c r="G17" s="585"/>
      <c r="H17" s="585"/>
      <c r="I17" s="585"/>
      <c r="J17" s="584" t="s">
        <v>262</v>
      </c>
      <c r="K17" s="584" t="s">
        <v>263</v>
      </c>
      <c r="L17" s="586">
        <v>70000</v>
      </c>
      <c r="M17" s="584" t="s">
        <v>282</v>
      </c>
      <c r="N17" s="587"/>
      <c r="O17" s="584"/>
      <c r="P17" s="585">
        <v>80</v>
      </c>
      <c r="Q17" s="588" t="s">
        <v>191</v>
      </c>
    </row>
    <row r="18" spans="1:17" s="73" customFormat="1" ht="17.100000000000001" customHeight="1" thickBot="1" x14ac:dyDescent="0.3">
      <c r="A18" s="589" t="s">
        <v>286</v>
      </c>
      <c r="B18" s="363" t="s">
        <v>280</v>
      </c>
      <c r="C18" s="362">
        <v>2</v>
      </c>
      <c r="D18" s="363" t="s">
        <v>287</v>
      </c>
      <c r="E18" s="362" t="s">
        <v>261</v>
      </c>
      <c r="F18" s="590"/>
      <c r="G18" s="362"/>
      <c r="H18" s="362"/>
      <c r="I18" s="362"/>
      <c r="J18" s="363" t="s">
        <v>262</v>
      </c>
      <c r="K18" s="591" t="s">
        <v>288</v>
      </c>
      <c r="L18" s="592">
        <v>61193</v>
      </c>
      <c r="M18" s="363" t="s">
        <v>264</v>
      </c>
      <c r="N18" s="593"/>
      <c r="O18" s="363" t="s">
        <v>265</v>
      </c>
      <c r="P18" s="362">
        <v>100</v>
      </c>
      <c r="Q18" s="594" t="s">
        <v>266</v>
      </c>
    </row>
    <row r="19" spans="1:17" s="73" customFormat="1" ht="18" customHeight="1" thickBot="1" x14ac:dyDescent="0.3">
      <c r="A19" s="595"/>
      <c r="B19" s="596" t="s">
        <v>280</v>
      </c>
      <c r="C19" s="597"/>
      <c r="D19" s="596" t="s">
        <v>281</v>
      </c>
      <c r="E19" s="597" t="s">
        <v>261</v>
      </c>
      <c r="F19" s="597"/>
      <c r="G19" s="597"/>
      <c r="H19" s="597"/>
      <c r="I19" s="597"/>
      <c r="J19" s="596" t="s">
        <v>262</v>
      </c>
      <c r="K19" s="598" t="s">
        <v>289</v>
      </c>
      <c r="L19" s="599">
        <v>0</v>
      </c>
      <c r="M19" s="596" t="s">
        <v>276</v>
      </c>
      <c r="N19" s="600">
        <v>15000</v>
      </c>
      <c r="O19" s="598" t="s">
        <v>290</v>
      </c>
      <c r="P19" s="364"/>
      <c r="Q19" s="594" t="s">
        <v>266</v>
      </c>
    </row>
    <row r="20" spans="1:17" s="1" customFormat="1" ht="44.65" customHeight="1" x14ac:dyDescent="0.25">
      <c r="A20" s="354" t="s">
        <v>291</v>
      </c>
      <c r="B20" s="355" t="s">
        <v>271</v>
      </c>
      <c r="C20" s="356">
        <v>3</v>
      </c>
      <c r="D20" s="355" t="s">
        <v>292</v>
      </c>
      <c r="E20" s="356"/>
      <c r="F20" s="356" t="s">
        <v>261</v>
      </c>
      <c r="G20" s="356"/>
      <c r="H20" s="356"/>
      <c r="I20" s="356"/>
      <c r="J20" s="355" t="s">
        <v>262</v>
      </c>
      <c r="K20" s="355" t="s">
        <v>268</v>
      </c>
      <c r="L20" s="344">
        <v>101925.14377500002</v>
      </c>
      <c r="M20" s="355" t="s">
        <v>264</v>
      </c>
      <c r="N20" s="357"/>
      <c r="O20" s="355" t="s">
        <v>265</v>
      </c>
      <c r="P20" s="356">
        <v>100</v>
      </c>
      <c r="Q20" s="594" t="s">
        <v>266</v>
      </c>
    </row>
    <row r="21" spans="1:17" s="1" customFormat="1" x14ac:dyDescent="0.25">
      <c r="A21" s="350"/>
      <c r="B21" s="347" t="s">
        <v>271</v>
      </c>
      <c r="C21" s="348">
        <v>3</v>
      </c>
      <c r="D21" s="347" t="s">
        <v>293</v>
      </c>
      <c r="E21" s="348" t="s">
        <v>261</v>
      </c>
      <c r="F21" s="348"/>
      <c r="G21" s="348"/>
      <c r="H21" s="348"/>
      <c r="I21" s="348"/>
      <c r="J21" s="347" t="s">
        <v>262</v>
      </c>
      <c r="K21" s="572" t="s">
        <v>263</v>
      </c>
      <c r="L21" s="345">
        <v>101925.14377500002</v>
      </c>
      <c r="M21" s="347" t="s">
        <v>264</v>
      </c>
      <c r="N21" s="349"/>
      <c r="O21" s="347" t="s">
        <v>265</v>
      </c>
      <c r="P21" s="348">
        <v>100</v>
      </c>
      <c r="Q21" s="570" t="s">
        <v>266</v>
      </c>
    </row>
    <row r="22" spans="1:17" s="1" customFormat="1" x14ac:dyDescent="0.25">
      <c r="A22" s="350"/>
      <c r="B22" s="347" t="s">
        <v>278</v>
      </c>
      <c r="C22" s="348">
        <v>3</v>
      </c>
      <c r="D22" s="347" t="s">
        <v>279</v>
      </c>
      <c r="E22" s="348" t="s">
        <v>261</v>
      </c>
      <c r="F22" s="348"/>
      <c r="G22" s="348"/>
      <c r="H22" s="348"/>
      <c r="I22" s="348"/>
      <c r="J22" s="347" t="s">
        <v>262</v>
      </c>
      <c r="K22" s="572" t="s">
        <v>263</v>
      </c>
      <c r="L22" s="342">
        <v>93909</v>
      </c>
      <c r="M22" s="347" t="s">
        <v>264</v>
      </c>
      <c r="N22" s="349"/>
      <c r="O22" s="347" t="s">
        <v>265</v>
      </c>
      <c r="P22" s="348">
        <v>100</v>
      </c>
      <c r="Q22" s="570" t="s">
        <v>266</v>
      </c>
    </row>
    <row r="23" spans="1:17" s="1" customFormat="1" x14ac:dyDescent="0.25">
      <c r="A23" s="358"/>
      <c r="B23" s="359" t="s">
        <v>259</v>
      </c>
      <c r="C23" s="348">
        <v>3</v>
      </c>
      <c r="D23" s="359" t="s">
        <v>283</v>
      </c>
      <c r="E23" s="360" t="s">
        <v>261</v>
      </c>
      <c r="F23" s="360"/>
      <c r="G23" s="360"/>
      <c r="H23" s="360"/>
      <c r="I23" s="360"/>
      <c r="J23" s="347" t="s">
        <v>262</v>
      </c>
      <c r="K23" s="572" t="s">
        <v>263</v>
      </c>
      <c r="L23" s="343">
        <v>90131.359500000006</v>
      </c>
      <c r="M23" s="347" t="s">
        <v>264</v>
      </c>
      <c r="N23" s="361"/>
      <c r="O23" s="347" t="s">
        <v>265</v>
      </c>
      <c r="P23" s="348">
        <v>100</v>
      </c>
      <c r="Q23" s="570" t="s">
        <v>266</v>
      </c>
    </row>
    <row r="24" spans="1:17" s="1" customFormat="1" ht="15.75" thickBot="1" x14ac:dyDescent="0.3">
      <c r="A24" s="601"/>
      <c r="B24" s="602" t="s">
        <v>259</v>
      </c>
      <c r="C24" s="603">
        <v>3</v>
      </c>
      <c r="D24" s="602" t="s">
        <v>283</v>
      </c>
      <c r="E24" s="604" t="s">
        <v>261</v>
      </c>
      <c r="F24" s="604"/>
      <c r="G24" s="604"/>
      <c r="H24" s="604"/>
      <c r="I24" s="604"/>
      <c r="J24" s="605" t="s">
        <v>262</v>
      </c>
      <c r="K24" s="606" t="s">
        <v>263</v>
      </c>
      <c r="L24" s="607">
        <v>90131.359500000006</v>
      </c>
      <c r="M24" s="605" t="s">
        <v>264</v>
      </c>
      <c r="N24" s="608"/>
      <c r="O24" s="605" t="s">
        <v>265</v>
      </c>
      <c r="P24" s="603">
        <v>100</v>
      </c>
      <c r="Q24" s="570" t="s">
        <v>266</v>
      </c>
    </row>
    <row r="25" spans="1:17" s="1" customFormat="1" ht="30" customHeight="1" thickBot="1" x14ac:dyDescent="0.3">
      <c r="A25" s="609" t="s">
        <v>294</v>
      </c>
      <c r="B25" s="610" t="s">
        <v>295</v>
      </c>
      <c r="C25" s="353">
        <v>3</v>
      </c>
      <c r="D25" s="610" t="s">
        <v>296</v>
      </c>
      <c r="E25" s="611"/>
      <c r="F25" s="353" t="s">
        <v>261</v>
      </c>
      <c r="G25" s="612"/>
      <c r="H25" s="612"/>
      <c r="I25" s="612"/>
      <c r="J25" s="352" t="s">
        <v>262</v>
      </c>
      <c r="K25" s="639" t="s">
        <v>263</v>
      </c>
      <c r="L25" s="613">
        <v>52052</v>
      </c>
      <c r="M25" s="352" t="s">
        <v>264</v>
      </c>
      <c r="N25" s="614"/>
      <c r="O25" s="352" t="s">
        <v>265</v>
      </c>
      <c r="P25" s="353">
        <v>100</v>
      </c>
      <c r="Q25" s="570" t="s">
        <v>266</v>
      </c>
    </row>
    <row r="26" spans="1:17" s="1" customFormat="1" ht="30.75" thickBot="1" x14ac:dyDescent="0.3">
      <c r="A26" s="615" t="s">
        <v>297</v>
      </c>
      <c r="B26" s="616" t="s">
        <v>280</v>
      </c>
      <c r="C26" s="617">
        <v>3</v>
      </c>
      <c r="D26" s="616" t="s">
        <v>281</v>
      </c>
      <c r="E26" s="618" t="s">
        <v>261</v>
      </c>
      <c r="F26" s="618"/>
      <c r="G26" s="618"/>
      <c r="H26" s="618"/>
      <c r="I26" s="618"/>
      <c r="J26" s="619" t="s">
        <v>262</v>
      </c>
      <c r="K26" s="619" t="s">
        <v>268</v>
      </c>
      <c r="L26" s="620">
        <v>65749</v>
      </c>
      <c r="M26" s="619" t="s">
        <v>264</v>
      </c>
      <c r="N26" s="616"/>
      <c r="O26" s="619" t="s">
        <v>265</v>
      </c>
      <c r="P26" s="621">
        <v>100</v>
      </c>
      <c r="Q26" s="588" t="s">
        <v>266</v>
      </c>
    </row>
    <row r="27" spans="1:17" s="1" customFormat="1" ht="13.9" customHeight="1" thickBot="1" x14ac:dyDescent="0.3">
      <c r="A27" s="682" t="str">
        <f>'kuni 2025 detsember tegevuskava'!J39</f>
        <v>ISO/IEC 27001 põhise infoturbejuhtimissüsteemile ülemineku algatamine, korraldamine ja teostamine (sh käigushoid) MTA</v>
      </c>
      <c r="B27" s="683" t="s">
        <v>298</v>
      </c>
      <c r="C27" s="684">
        <v>3</v>
      </c>
      <c r="D27" s="685" t="s">
        <v>299</v>
      </c>
      <c r="E27" s="686"/>
      <c r="F27" s="686" t="s">
        <v>261</v>
      </c>
      <c r="G27" s="686"/>
      <c r="H27" s="686"/>
      <c r="I27" s="686"/>
      <c r="J27" s="623" t="s">
        <v>262</v>
      </c>
      <c r="K27" s="687" t="s">
        <v>263</v>
      </c>
      <c r="L27" s="688">
        <v>49000</v>
      </c>
      <c r="M27" s="623" t="s">
        <v>264</v>
      </c>
      <c r="N27" s="624"/>
      <c r="O27" s="689" t="s">
        <v>265</v>
      </c>
      <c r="P27" s="622">
        <v>80</v>
      </c>
      <c r="Q27" s="594" t="s">
        <v>300</v>
      </c>
    </row>
    <row r="28" spans="1:17" s="1" customFormat="1" ht="13.9" customHeight="1" thickBot="1" x14ac:dyDescent="0.3">
      <c r="A28" s="653"/>
      <c r="B28" s="636" t="s">
        <v>280</v>
      </c>
      <c r="C28" s="684">
        <v>3</v>
      </c>
      <c r="D28" s="637" t="s">
        <v>301</v>
      </c>
      <c r="E28" s="638"/>
      <c r="F28" s="638" t="s">
        <v>261</v>
      </c>
      <c r="G28" s="638"/>
      <c r="H28" s="638"/>
      <c r="I28" s="638"/>
      <c r="J28" s="626" t="s">
        <v>262</v>
      </c>
      <c r="K28" s="628" t="s">
        <v>263</v>
      </c>
      <c r="L28" s="660">
        <v>71000</v>
      </c>
      <c r="M28" s="626" t="s">
        <v>264</v>
      </c>
      <c r="N28" s="627"/>
      <c r="O28" s="626" t="s">
        <v>265</v>
      </c>
      <c r="P28" s="625">
        <v>100</v>
      </c>
      <c r="Q28" s="690" t="s">
        <v>266</v>
      </c>
    </row>
    <row r="29" spans="1:17" s="1" customFormat="1" ht="13.9" customHeight="1" x14ac:dyDescent="0.25">
      <c r="B29" s="3"/>
      <c r="C29" s="365"/>
      <c r="D29" s="3"/>
      <c r="E29" s="365"/>
      <c r="F29" s="365"/>
      <c r="G29" s="365"/>
      <c r="H29" s="365"/>
      <c r="I29" s="365"/>
      <c r="J29" s="3"/>
      <c r="L29" s="366"/>
      <c r="M29" s="3"/>
      <c r="O29" s="3"/>
      <c r="P29" s="3"/>
      <c r="Q29" s="413"/>
    </row>
    <row r="30" spans="1:17" x14ac:dyDescent="0.25">
      <c r="L30" s="368"/>
      <c r="N30" s="672"/>
      <c r="O30" s="672"/>
      <c r="P30" s="672"/>
      <c r="Q30" s="673"/>
    </row>
    <row r="31" spans="1:17" x14ac:dyDescent="0.25">
      <c r="B31" s="369" t="s">
        <v>295</v>
      </c>
      <c r="C31" s="367">
        <v>1</v>
      </c>
      <c r="D31" t="s">
        <v>281</v>
      </c>
      <c r="N31" s="629"/>
      <c r="O31" s="629"/>
      <c r="P31" s="629"/>
      <c r="Q31" s="630"/>
    </row>
    <row r="32" spans="1:17" x14ac:dyDescent="0.25">
      <c r="B32" s="369" t="s">
        <v>280</v>
      </c>
      <c r="C32" s="367">
        <v>2</v>
      </c>
      <c r="D32" t="s">
        <v>302</v>
      </c>
      <c r="N32" s="629"/>
      <c r="O32" s="629"/>
      <c r="P32" s="629"/>
      <c r="Q32" s="630"/>
    </row>
    <row r="33" spans="1:17" x14ac:dyDescent="0.25">
      <c r="A33" t="s">
        <v>303</v>
      </c>
      <c r="B33" s="369" t="s">
        <v>304</v>
      </c>
      <c r="C33" s="367">
        <v>3</v>
      </c>
      <c r="D33" t="s">
        <v>305</v>
      </c>
      <c r="N33" s="629"/>
      <c r="O33" s="629"/>
      <c r="P33" s="629"/>
      <c r="Q33" s="630"/>
    </row>
    <row r="34" spans="1:17" x14ac:dyDescent="0.25">
      <c r="B34" s="369" t="s">
        <v>284</v>
      </c>
      <c r="C34" s="367">
        <v>4</v>
      </c>
      <c r="D34" t="s">
        <v>306</v>
      </c>
      <c r="N34" s="629"/>
      <c r="O34" s="629"/>
      <c r="P34" s="629"/>
      <c r="Q34" s="630"/>
    </row>
    <row r="35" spans="1:17" x14ac:dyDescent="0.25">
      <c r="B35" s="369" t="s">
        <v>307</v>
      </c>
      <c r="D35" t="s">
        <v>308</v>
      </c>
      <c r="Q35" s="413"/>
    </row>
    <row r="36" spans="1:17" x14ac:dyDescent="0.25">
      <c r="B36" s="369" t="s">
        <v>298</v>
      </c>
      <c r="D36" t="s">
        <v>309</v>
      </c>
      <c r="Q36" s="413"/>
    </row>
    <row r="37" spans="1:17" x14ac:dyDescent="0.25">
      <c r="B37" s="369" t="s">
        <v>310</v>
      </c>
      <c r="D37" t="s">
        <v>292</v>
      </c>
    </row>
    <row r="38" spans="1:17" x14ac:dyDescent="0.25">
      <c r="B38" s="369" t="s">
        <v>273</v>
      </c>
      <c r="D38" t="s">
        <v>293</v>
      </c>
    </row>
    <row r="39" spans="1:17" x14ac:dyDescent="0.25">
      <c r="B39" s="369" t="s">
        <v>271</v>
      </c>
      <c r="D39" t="s">
        <v>311</v>
      </c>
    </row>
    <row r="40" spans="1:17" x14ac:dyDescent="0.25">
      <c r="B40" s="369" t="s">
        <v>259</v>
      </c>
      <c r="D40" t="s">
        <v>283</v>
      </c>
    </row>
    <row r="41" spans="1:17" x14ac:dyDescent="0.25">
      <c r="B41" s="369" t="s">
        <v>312</v>
      </c>
      <c r="D41" t="s">
        <v>313</v>
      </c>
    </row>
    <row r="42" spans="1:17" x14ac:dyDescent="0.25">
      <c r="B42" s="369" t="s">
        <v>278</v>
      </c>
      <c r="D42" t="s">
        <v>314</v>
      </c>
    </row>
    <row r="43" spans="1:17" x14ac:dyDescent="0.25">
      <c r="B43" s="369" t="s">
        <v>315</v>
      </c>
    </row>
    <row r="44" spans="1:17" x14ac:dyDescent="0.25">
      <c r="B44" s="369"/>
    </row>
    <row r="45" spans="1:17" x14ac:dyDescent="0.25">
      <c r="B45" s="369" t="s">
        <v>270</v>
      </c>
      <c r="D45" t="s">
        <v>316</v>
      </c>
    </row>
    <row r="46" spans="1:17" x14ac:dyDescent="0.25">
      <c r="D46" t="s">
        <v>296</v>
      </c>
    </row>
    <row r="47" spans="1:17" x14ac:dyDescent="0.25">
      <c r="D47" t="s">
        <v>317</v>
      </c>
    </row>
    <row r="48" spans="1:17" x14ac:dyDescent="0.25">
      <c r="D48" t="s">
        <v>318</v>
      </c>
    </row>
    <row r="49" spans="2:4" x14ac:dyDescent="0.25">
      <c r="B49" s="19"/>
      <c r="D49" t="s">
        <v>319</v>
      </c>
    </row>
    <row r="50" spans="2:4" x14ac:dyDescent="0.25">
      <c r="B50" s="19"/>
      <c r="D50" t="s">
        <v>320</v>
      </c>
    </row>
    <row r="51" spans="2:4" x14ac:dyDescent="0.25">
      <c r="B51" s="19"/>
      <c r="D51" t="s">
        <v>298</v>
      </c>
    </row>
    <row r="52" spans="2:4" ht="15" customHeight="1" x14ac:dyDescent="0.25">
      <c r="D52" t="s">
        <v>321</v>
      </c>
    </row>
    <row r="53" spans="2:4" x14ac:dyDescent="0.25">
      <c r="D53" t="s">
        <v>322</v>
      </c>
    </row>
    <row r="54" spans="2:4" x14ac:dyDescent="0.25">
      <c r="D54" t="s">
        <v>323</v>
      </c>
    </row>
    <row r="55" spans="2:4" x14ac:dyDescent="0.25">
      <c r="D55" t="s">
        <v>324</v>
      </c>
    </row>
    <row r="56" spans="2:4" x14ac:dyDescent="0.25">
      <c r="D56" t="s">
        <v>325</v>
      </c>
    </row>
    <row r="57" spans="2:4" x14ac:dyDescent="0.25">
      <c r="D57" t="s">
        <v>326</v>
      </c>
    </row>
    <row r="58" spans="2:4" x14ac:dyDescent="0.25">
      <c r="D58" t="s">
        <v>327</v>
      </c>
    </row>
    <row r="59" spans="2:4" x14ac:dyDescent="0.25">
      <c r="D59" t="s">
        <v>328</v>
      </c>
    </row>
    <row r="60" spans="2:4" x14ac:dyDescent="0.25">
      <c r="D60" t="s">
        <v>329</v>
      </c>
    </row>
    <row r="61" spans="2:4" x14ac:dyDescent="0.25">
      <c r="D61" t="s">
        <v>285</v>
      </c>
    </row>
    <row r="62" spans="2:4" x14ac:dyDescent="0.25">
      <c r="D62" t="s">
        <v>330</v>
      </c>
    </row>
    <row r="63" spans="2:4" x14ac:dyDescent="0.25">
      <c r="D63" t="s">
        <v>270</v>
      </c>
    </row>
    <row r="64" spans="2:4" x14ac:dyDescent="0.25">
      <c r="D64" t="s">
        <v>331</v>
      </c>
    </row>
    <row r="65" spans="4:4" x14ac:dyDescent="0.25">
      <c r="D65" t="s">
        <v>272</v>
      </c>
    </row>
    <row r="66" spans="4:4" x14ac:dyDescent="0.25">
      <c r="D66" t="s">
        <v>287</v>
      </c>
    </row>
    <row r="67" spans="4:4" x14ac:dyDescent="0.25">
      <c r="D67" t="s">
        <v>279</v>
      </c>
    </row>
  </sheetData>
  <autoFilter ref="A3:R28" xr:uid="{1E2FB2B9-401D-4259-9A59-CF329DE4CDB8}"/>
  <mergeCells count="14">
    <mergeCell ref="E1:I1"/>
    <mergeCell ref="A2:A3"/>
    <mergeCell ref="B2:B3"/>
    <mergeCell ref="C2:C3"/>
    <mergeCell ref="D2:D3"/>
    <mergeCell ref="E2:I2"/>
    <mergeCell ref="P2:P3"/>
    <mergeCell ref="Q2:Q3"/>
    <mergeCell ref="J2:J3"/>
    <mergeCell ref="K2:K3"/>
    <mergeCell ref="L2:L3"/>
    <mergeCell ref="M2:M3"/>
    <mergeCell ref="N2:N3"/>
    <mergeCell ref="O2:O3"/>
  </mergeCells>
  <phoneticPr fontId="7" type="noConversion"/>
  <dataValidations count="9">
    <dataValidation type="list" allowBlank="1" showInputMessage="1" showErrorMessage="1" sqref="C27:C28" xr:uid="{32DE59FA-3990-4562-8C39-DEBBC3A99C16}">
      <formula1>#REF!</formula1>
    </dataValidation>
    <dataValidation type="list" allowBlank="1" showInputMessage="1" showErrorMessage="1" sqref="D29" xr:uid="{FB156F36-461B-4D1F-BCF7-B589BB56516B}">
      <formula1>$D$64:$D$97</formula1>
    </dataValidation>
    <dataValidation type="list" allowBlank="1" showInputMessage="1" showErrorMessage="1" sqref="B12:B26" xr:uid="{C0579CA9-BAE0-4C88-B8B3-D5507F2577F1}">
      <formula1>$B$31:$B$45</formula1>
    </dataValidation>
    <dataValidation type="list" allowBlank="1" showInputMessage="1" showErrorMessage="1" sqref="D12:D26" xr:uid="{D5D2E4F9-C2CC-4DE8-A1E1-3E07459045AD}">
      <formula1>$D$31:$D$67</formula1>
    </dataValidation>
    <dataValidation type="list" allowBlank="1" showInputMessage="1" showErrorMessage="1" sqref="C12:C26" xr:uid="{9531CA3C-9B37-4A0C-A622-7BB49BA11A82}">
      <formula1>$C$31:$C$34</formula1>
    </dataValidation>
    <dataValidation showInputMessage="1" showErrorMessage="1" promptTitle="Jah/Ei" sqref="J29 J7:J26" xr:uid="{A5ADA821-6285-488C-9CFA-D2B1E6924128}"/>
    <dataValidation type="list" allowBlank="1" showInputMessage="1" showErrorMessage="1" sqref="B27:B28" xr:uid="{1958659D-D487-4219-A16F-C972DB459FBF}">
      <formula1>$C$27:$C$31</formula1>
    </dataValidation>
    <dataValidation type="list" allowBlank="1" showInputMessage="1" showErrorMessage="1" sqref="C6:C9" xr:uid="{D7CB5F1E-C028-46EA-8C38-9FF9F2C065BF}">
      <formula1>$D$74:$D$77</formula1>
    </dataValidation>
    <dataValidation type="list" allowBlank="1" showInputMessage="1" showErrorMessage="1" sqref="B6:B11" xr:uid="{23E287A3-2982-4400-A8F9-F3436846278B}">
      <formula1>$C$37:$C$51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17"/>
  <sheetViews>
    <sheetView topLeftCell="AC44" zoomScale="70" zoomScaleNormal="70" workbookViewId="0">
      <selection activeCell="AR47" sqref="AR47"/>
    </sheetView>
  </sheetViews>
  <sheetFormatPr defaultRowHeight="15" customHeight="1" x14ac:dyDescent="0.25"/>
  <cols>
    <col min="1" max="1" width="21.28515625" customWidth="1"/>
    <col min="2" max="2" width="15" customWidth="1"/>
    <col min="3" max="3" width="13.7109375" customWidth="1"/>
    <col min="4" max="4" width="14.28515625" customWidth="1"/>
    <col min="5" max="5" width="16.7109375" customWidth="1"/>
    <col min="6" max="6" width="18.5703125" customWidth="1"/>
    <col min="7" max="7" width="14.28515625" customWidth="1"/>
    <col min="8" max="8" width="11.7109375" customWidth="1"/>
    <col min="9" max="9" width="20.28515625" customWidth="1"/>
    <col min="10" max="10" width="25.28515625" style="3" customWidth="1"/>
    <col min="11" max="11" width="42" customWidth="1"/>
    <col min="12" max="12" width="12" hidden="1" customWidth="1"/>
    <col min="13" max="13" width="14.28515625" hidden="1" customWidth="1"/>
    <col min="14" max="14" width="12.28515625" customWidth="1"/>
    <col min="16" max="16" width="14.7109375" bestFit="1" customWidth="1"/>
    <col min="17" max="17" width="9.28515625" customWidth="1"/>
    <col min="18" max="21" width="13.28515625" customWidth="1"/>
    <col min="22" max="24" width="9.28515625" customWidth="1"/>
    <col min="25" max="25" width="11" bestFit="1" customWidth="1"/>
    <col min="26" max="36" width="10.28515625" customWidth="1"/>
    <col min="37" max="37" width="40.28515625" customWidth="1"/>
    <col min="38" max="38" width="37" customWidth="1"/>
    <col min="39" max="39" width="60.7109375" customWidth="1"/>
    <col min="40" max="40" width="9.28515625" customWidth="1"/>
    <col min="41" max="42" width="10.28515625" bestFit="1" customWidth="1"/>
    <col min="43" max="43" width="10.7109375" customWidth="1"/>
    <col min="44" max="44" width="73.5703125" customWidth="1"/>
  </cols>
  <sheetData>
    <row r="1" spans="1:11" x14ac:dyDescent="0.25">
      <c r="A1" s="5" t="s">
        <v>332</v>
      </c>
      <c r="B1" s="170"/>
      <c r="C1" s="171"/>
      <c r="D1" s="171"/>
      <c r="E1" s="8"/>
      <c r="F1" s="275"/>
      <c r="G1" s="275"/>
      <c r="H1" s="275"/>
      <c r="I1" s="8"/>
    </row>
    <row r="2" spans="1:11" ht="30.75" customHeight="1" x14ac:dyDescent="0.25">
      <c r="A2" s="7" t="s">
        <v>1</v>
      </c>
      <c r="B2" s="937" t="s">
        <v>2</v>
      </c>
      <c r="C2" s="937"/>
      <c r="D2" s="937"/>
      <c r="E2" s="8"/>
      <c r="F2" s="8"/>
      <c r="G2" s="8"/>
      <c r="H2" s="8"/>
      <c r="I2" s="8"/>
      <c r="J2" s="4"/>
    </row>
    <row r="3" spans="1:11" x14ac:dyDescent="0.25">
      <c r="A3" s="11" t="s">
        <v>4</v>
      </c>
      <c r="B3" s="12" t="s">
        <v>333</v>
      </c>
      <c r="C3" s="13">
        <v>2023</v>
      </c>
      <c r="D3" s="13">
        <v>2024</v>
      </c>
      <c r="E3" s="8"/>
      <c r="F3" s="8"/>
      <c r="G3" s="8"/>
      <c r="H3" s="8"/>
      <c r="I3" s="8"/>
      <c r="J3" s="4"/>
      <c r="K3" s="3"/>
    </row>
    <row r="4" spans="1:11" x14ac:dyDescent="0.25">
      <c r="A4" s="5" t="s">
        <v>11</v>
      </c>
      <c r="B4" s="9">
        <f>SUM(C4:D4)</f>
        <v>3409492</v>
      </c>
      <c r="C4" s="9">
        <f>SUM(C5+C12)</f>
        <v>854170</v>
      </c>
      <c r="D4" s="9">
        <f>SUM(D5+D12)</f>
        <v>2555322</v>
      </c>
      <c r="E4" s="8"/>
      <c r="F4" s="8"/>
      <c r="G4" s="8"/>
      <c r="H4" s="8"/>
      <c r="I4" s="8"/>
      <c r="J4" s="4"/>
      <c r="K4" s="4"/>
    </row>
    <row r="5" spans="1:11" ht="15.75" x14ac:dyDescent="0.25">
      <c r="A5" s="5" t="s">
        <v>12</v>
      </c>
      <c r="B5" s="9">
        <f>SUM(C5:D5)</f>
        <v>0</v>
      </c>
      <c r="C5" s="9">
        <f>SUM(C6:C11)</f>
        <v>0</v>
      </c>
      <c r="D5" s="9">
        <f>SUM(D6:D11)</f>
        <v>0</v>
      </c>
      <c r="E5" s="16"/>
      <c r="F5" s="8"/>
      <c r="G5" s="8"/>
      <c r="H5" s="8"/>
      <c r="I5" s="8"/>
      <c r="J5" s="4"/>
    </row>
    <row r="6" spans="1:11" x14ac:dyDescent="0.25">
      <c r="A6" s="29" t="s">
        <v>13</v>
      </c>
      <c r="B6" s="17">
        <f t="shared" ref="B6:B14" si="0">SUM(C6:D6)</f>
        <v>0</v>
      </c>
      <c r="C6" s="18">
        <f>SUMIFS(Q35:Q94,O35:O94,"Baaseelarve")</f>
        <v>0</v>
      </c>
      <c r="D6" s="18">
        <f>SUMIFS(R35:R94,O35:O94,"Baaseelarve")</f>
        <v>0</v>
      </c>
      <c r="E6" s="10"/>
      <c r="F6" s="8"/>
      <c r="G6" s="8"/>
      <c r="H6" s="8"/>
      <c r="I6" s="8"/>
      <c r="J6" s="4"/>
    </row>
    <row r="7" spans="1:11" x14ac:dyDescent="0.25">
      <c r="A7" s="29" t="s">
        <v>14</v>
      </c>
      <c r="B7" s="17">
        <f t="shared" si="0"/>
        <v>0</v>
      </c>
      <c r="C7" s="18">
        <f>SUMIFS(Q35:Q94,O35:O94,"Muu rahastus")</f>
        <v>0</v>
      </c>
      <c r="D7" s="18">
        <f>SUMIFS(R35:R94,O35:O94,"Muu rahastus")</f>
        <v>0</v>
      </c>
      <c r="E7" s="10"/>
      <c r="F7" s="8"/>
      <c r="G7" s="8"/>
      <c r="H7" s="8"/>
      <c r="I7" s="8"/>
      <c r="J7" s="4"/>
    </row>
    <row r="8" spans="1:11" x14ac:dyDescent="0.25">
      <c r="A8" s="29" t="s">
        <v>15</v>
      </c>
      <c r="B8" s="17">
        <f t="shared" si="0"/>
        <v>0</v>
      </c>
      <c r="C8" s="18">
        <f>SUMIFS(Q35:Q94,O35:O94,"Reserv (SR)")</f>
        <v>0</v>
      </c>
      <c r="D8" s="18">
        <f>SUMIFS(R35:R94,O35:O94,"Reserv (SR)")</f>
        <v>0</v>
      </c>
      <c r="E8" s="10"/>
      <c r="F8" s="8"/>
      <c r="G8" s="8"/>
      <c r="H8" s="8"/>
      <c r="I8" s="8"/>
      <c r="J8" s="4"/>
    </row>
    <row r="9" spans="1:11" hidden="1" x14ac:dyDescent="0.25">
      <c r="A9" s="29" t="s">
        <v>16</v>
      </c>
      <c r="B9" s="17">
        <f t="shared" si="0"/>
        <v>0</v>
      </c>
      <c r="C9" s="18">
        <f>SUMIFS(Q35:Q94,O35:O94,"RRF")</f>
        <v>0</v>
      </c>
      <c r="D9" s="18">
        <f>SUMIFS(R35:R94,O35:O94,"RRF")</f>
        <v>0</v>
      </c>
      <c r="E9" s="10"/>
      <c r="F9" s="8"/>
      <c r="G9" s="8"/>
      <c r="H9" s="8"/>
      <c r="I9" s="8"/>
      <c r="J9" s="4"/>
    </row>
    <row r="10" spans="1:11" x14ac:dyDescent="0.25">
      <c r="A10" s="29" t="s">
        <v>17</v>
      </c>
      <c r="B10" s="17">
        <f t="shared" si="0"/>
        <v>0</v>
      </c>
      <c r="C10" s="18">
        <f>SUMIFS(Q35:Q94,O35:O94,"SF 14-20 (töös olev projekt)")</f>
        <v>0</v>
      </c>
      <c r="D10" s="18">
        <f>SUMIFS(R35:R94,O35:O94,"SF 14-20 (töös olev projekt)")</f>
        <v>0</v>
      </c>
      <c r="E10" s="10"/>
      <c r="F10" s="8"/>
      <c r="G10" s="8"/>
      <c r="H10" s="8"/>
      <c r="I10" s="8"/>
      <c r="J10" s="4"/>
    </row>
    <row r="11" spans="1:11" x14ac:dyDescent="0.25">
      <c r="A11" s="29" t="s">
        <v>18</v>
      </c>
      <c r="B11" s="17">
        <f>SUM(C11:D11)</f>
        <v>0</v>
      </c>
      <c r="C11" s="18"/>
      <c r="D11" s="18"/>
      <c r="E11" s="10"/>
      <c r="F11" s="8"/>
      <c r="G11" s="8"/>
      <c r="H11" s="8"/>
      <c r="I11" s="8"/>
      <c r="J11" s="4"/>
    </row>
    <row r="12" spans="1:11" x14ac:dyDescent="0.25">
      <c r="A12" s="5" t="s">
        <v>19</v>
      </c>
      <c r="B12" s="9">
        <f t="shared" si="0"/>
        <v>3409492</v>
      </c>
      <c r="C12" s="9">
        <f>SUM(C13:C14)</f>
        <v>854170</v>
      </c>
      <c r="D12" s="9">
        <f>SUM(D13:D14)</f>
        <v>2555322</v>
      </c>
      <c r="E12" s="10"/>
      <c r="F12" s="8"/>
      <c r="G12" s="8"/>
      <c r="H12" s="8"/>
      <c r="I12" s="8"/>
      <c r="J12" s="4"/>
    </row>
    <row r="13" spans="1:11" x14ac:dyDescent="0.25">
      <c r="A13" s="29" t="s">
        <v>20</v>
      </c>
      <c r="B13" s="17">
        <f t="shared" si="0"/>
        <v>0</v>
      </c>
      <c r="C13" s="18">
        <f>SUMIFS(Q35:Q95,O35:O95,"RES IKT (vaja juurde taotleda)")</f>
        <v>0</v>
      </c>
      <c r="D13" s="18">
        <f>SUMIFS(R35:R95,O35:O95,"RES IKT (vaja juurde taotleda)")</f>
        <v>0</v>
      </c>
      <c r="E13" s="10" t="s">
        <v>334</v>
      </c>
      <c r="F13" s="8"/>
      <c r="G13" s="8"/>
      <c r="H13" s="8"/>
      <c r="I13" s="8"/>
      <c r="J13" s="4"/>
    </row>
    <row r="14" spans="1:11" x14ac:dyDescent="0.25">
      <c r="A14" s="29" t="s">
        <v>21</v>
      </c>
      <c r="B14" s="17">
        <f t="shared" si="0"/>
        <v>3409492</v>
      </c>
      <c r="C14" s="18">
        <f>SUMIFS(Q35:Q94,O35:O94,"SF 21-27 (taotletav raha)")</f>
        <v>854170</v>
      </c>
      <c r="D14" s="18">
        <f>SUMIFS(R35:R94,O35:O94,"SF 21-27 (taotletav raha)")</f>
        <v>2555322</v>
      </c>
      <c r="E14" s="10"/>
      <c r="F14" s="8"/>
      <c r="G14" s="8"/>
      <c r="H14" s="8"/>
      <c r="I14" s="8"/>
      <c r="J14" s="4"/>
    </row>
    <row r="15" spans="1:11" x14ac:dyDescent="0.25">
      <c r="A15" s="6"/>
      <c r="B15" s="6"/>
      <c r="C15" s="6"/>
      <c r="D15" s="6"/>
      <c r="E15" s="6"/>
      <c r="F15" s="6"/>
      <c r="G15" s="6"/>
      <c r="H15" s="6"/>
      <c r="I15" s="6"/>
    </row>
    <row r="16" spans="1:11" x14ac:dyDescent="0.25">
      <c r="A16" s="10" t="s">
        <v>23</v>
      </c>
      <c r="B16" s="6"/>
      <c r="C16" s="6"/>
      <c r="D16" s="6"/>
      <c r="E16" s="6"/>
      <c r="F16" s="6"/>
      <c r="G16" s="6"/>
      <c r="H16" s="6"/>
      <c r="I16" s="6"/>
    </row>
    <row r="17" spans="1:44" ht="29.1" customHeight="1" x14ac:dyDescent="0.25">
      <c r="A17" s="48" t="s">
        <v>24</v>
      </c>
      <c r="B17" s="948" t="s">
        <v>25</v>
      </c>
      <c r="C17" s="948"/>
      <c r="D17" s="948"/>
      <c r="E17" s="948"/>
      <c r="F17" s="948"/>
      <c r="G17" s="948"/>
      <c r="H17" s="948"/>
      <c r="I17" s="948"/>
      <c r="J17" s="276" t="s">
        <v>26</v>
      </c>
      <c r="K17" s="932" t="s">
        <v>27</v>
      </c>
      <c r="L17" s="933"/>
      <c r="M17" s="933"/>
      <c r="N17" s="933"/>
      <c r="O17" s="933"/>
      <c r="P17" s="933"/>
      <c r="Q17" s="934"/>
    </row>
    <row r="18" spans="1:44" ht="30" x14ac:dyDescent="0.25">
      <c r="A18" s="49" t="s">
        <v>335</v>
      </c>
      <c r="B18" s="106" t="s">
        <v>29</v>
      </c>
      <c r="C18" s="107" t="s">
        <v>30</v>
      </c>
      <c r="D18" s="107" t="s">
        <v>31</v>
      </c>
      <c r="E18" s="107" t="s">
        <v>32</v>
      </c>
      <c r="F18" s="107" t="s">
        <v>33</v>
      </c>
      <c r="G18" s="107" t="s">
        <v>34</v>
      </c>
      <c r="H18" s="107" t="s">
        <v>35</v>
      </c>
      <c r="I18" s="193" t="s">
        <v>36</v>
      </c>
      <c r="J18" s="277"/>
      <c r="K18" s="279"/>
      <c r="Q18" s="68"/>
    </row>
    <row r="19" spans="1:44" x14ac:dyDescent="0.25">
      <c r="A19" s="389" t="s">
        <v>336</v>
      </c>
      <c r="B19" s="398">
        <v>0</v>
      </c>
      <c r="C19" s="399"/>
      <c r="D19" s="399"/>
      <c r="E19" s="399"/>
      <c r="F19" s="399"/>
      <c r="G19" s="399"/>
      <c r="H19" s="399"/>
      <c r="I19" s="400">
        <v>1500</v>
      </c>
      <c r="J19" s="278"/>
      <c r="K19" s="927" t="s">
        <v>39</v>
      </c>
      <c r="L19" s="928"/>
      <c r="M19" s="928"/>
      <c r="N19" s="928"/>
      <c r="O19" s="928"/>
      <c r="P19" s="928"/>
      <c r="Q19" s="929"/>
    </row>
    <row r="20" spans="1:44" ht="29.1" customHeight="1" x14ac:dyDescent="0.25">
      <c r="A20" s="385" t="s">
        <v>40</v>
      </c>
      <c r="B20" s="935" t="s">
        <v>41</v>
      </c>
      <c r="C20" s="935"/>
      <c r="D20" s="935"/>
      <c r="E20" s="935"/>
      <c r="F20" s="935"/>
      <c r="G20" s="935"/>
      <c r="H20" s="935"/>
      <c r="I20" s="947"/>
      <c r="J20" s="387"/>
      <c r="K20" s="932" t="s">
        <v>42</v>
      </c>
      <c r="L20" s="933"/>
      <c r="M20" s="933"/>
      <c r="N20" s="933"/>
      <c r="O20" s="933"/>
      <c r="P20" s="933"/>
      <c r="Q20" s="934"/>
    </row>
    <row r="21" spans="1:44" ht="30" x14ac:dyDescent="0.25">
      <c r="A21" s="391" t="s">
        <v>335</v>
      </c>
      <c r="B21" s="106" t="s">
        <v>29</v>
      </c>
      <c r="C21" s="107" t="s">
        <v>30</v>
      </c>
      <c r="D21" s="107" t="s">
        <v>31</v>
      </c>
      <c r="E21" s="107" t="s">
        <v>32</v>
      </c>
      <c r="F21" s="107" t="s">
        <v>33</v>
      </c>
      <c r="G21" s="107" t="s">
        <v>34</v>
      </c>
      <c r="H21" s="107" t="s">
        <v>35</v>
      </c>
      <c r="I21" s="193" t="s">
        <v>36</v>
      </c>
      <c r="J21" s="388"/>
      <c r="K21" s="279"/>
      <c r="Q21" s="68"/>
    </row>
    <row r="22" spans="1:44" x14ac:dyDescent="0.25">
      <c r="A22" s="386" t="s">
        <v>336</v>
      </c>
      <c r="B22" s="401">
        <v>0</v>
      </c>
      <c r="C22" s="402"/>
      <c r="D22" s="402">
        <v>1</v>
      </c>
      <c r="E22" s="402"/>
      <c r="F22" s="402"/>
      <c r="G22" s="402"/>
      <c r="H22" s="402"/>
      <c r="I22" s="403"/>
      <c r="J22" s="396"/>
      <c r="K22" s="927" t="s">
        <v>44</v>
      </c>
      <c r="L22" s="928"/>
      <c r="M22" s="928"/>
      <c r="N22" s="928"/>
      <c r="O22" s="928"/>
      <c r="P22" s="928"/>
      <c r="Q22" s="929"/>
    </row>
    <row r="23" spans="1:44" ht="29.1" customHeight="1" x14ac:dyDescent="0.25">
      <c r="A23" s="397" t="s">
        <v>40</v>
      </c>
      <c r="B23" s="930" t="s">
        <v>45</v>
      </c>
      <c r="C23" s="930"/>
      <c r="D23" s="930"/>
      <c r="E23" s="930"/>
      <c r="F23" s="930"/>
      <c r="G23" s="930"/>
      <c r="H23" s="930"/>
      <c r="I23" s="931"/>
      <c r="J23" s="387"/>
      <c r="K23" s="932" t="s">
        <v>46</v>
      </c>
      <c r="L23" s="933"/>
      <c r="M23" s="933"/>
      <c r="N23" s="933"/>
      <c r="O23" s="933"/>
      <c r="P23" s="933"/>
      <c r="Q23" s="934"/>
    </row>
    <row r="24" spans="1:44" ht="30" x14ac:dyDescent="0.25">
      <c r="A24" s="386" t="s">
        <v>335</v>
      </c>
      <c r="B24" s="106" t="s">
        <v>29</v>
      </c>
      <c r="C24" s="107" t="s">
        <v>30</v>
      </c>
      <c r="D24" s="107" t="s">
        <v>31</v>
      </c>
      <c r="E24" s="107" t="s">
        <v>32</v>
      </c>
      <c r="F24" s="107" t="s">
        <v>33</v>
      </c>
      <c r="G24" s="107" t="s">
        <v>34</v>
      </c>
      <c r="H24" s="107" t="s">
        <v>35</v>
      </c>
      <c r="I24" s="193" t="s">
        <v>36</v>
      </c>
      <c r="J24" s="388"/>
      <c r="K24" s="279"/>
      <c r="Q24" s="68"/>
    </row>
    <row r="25" spans="1:44" x14ac:dyDescent="0.25">
      <c r="A25" s="394" t="s">
        <v>336</v>
      </c>
      <c r="B25" s="404">
        <v>0</v>
      </c>
      <c r="C25" s="405">
        <v>3</v>
      </c>
      <c r="D25" s="405"/>
      <c r="E25" s="405"/>
      <c r="F25" s="405"/>
      <c r="G25" s="405"/>
      <c r="H25" s="405"/>
      <c r="I25" s="406"/>
      <c r="J25" s="395"/>
      <c r="K25" s="927" t="s">
        <v>47</v>
      </c>
      <c r="L25" s="928"/>
      <c r="M25" s="928"/>
      <c r="N25" s="928"/>
      <c r="O25" s="928"/>
      <c r="P25" s="928"/>
      <c r="Q25" s="929"/>
    </row>
    <row r="26" spans="1:44" ht="75" x14ac:dyDescent="0.25">
      <c r="A26" s="385" t="s">
        <v>48</v>
      </c>
      <c r="B26" s="935" t="s">
        <v>49</v>
      </c>
      <c r="C26" s="935"/>
      <c r="D26" s="935"/>
      <c r="E26" s="935"/>
      <c r="F26" s="935"/>
      <c r="G26" s="935"/>
      <c r="H26" s="935"/>
      <c r="I26" s="935"/>
      <c r="J26" s="390"/>
      <c r="K26" s="936" t="s">
        <v>50</v>
      </c>
      <c r="L26" s="933"/>
      <c r="M26" s="933"/>
      <c r="N26" s="933"/>
      <c r="O26" s="933"/>
      <c r="P26" s="933"/>
      <c r="Q26" s="934"/>
    </row>
    <row r="27" spans="1:44" ht="30.75" customHeight="1" x14ac:dyDescent="0.25">
      <c r="A27" s="391" t="s">
        <v>335</v>
      </c>
      <c r="B27" s="106" t="s">
        <v>29</v>
      </c>
      <c r="C27" s="107" t="s">
        <v>30</v>
      </c>
      <c r="D27" s="107" t="s">
        <v>31</v>
      </c>
      <c r="E27" s="107" t="s">
        <v>32</v>
      </c>
      <c r="F27" s="107" t="s">
        <v>33</v>
      </c>
      <c r="G27" s="107" t="s">
        <v>34</v>
      </c>
      <c r="H27" s="107" t="s">
        <v>35</v>
      </c>
      <c r="I27" s="193" t="s">
        <v>36</v>
      </c>
      <c r="J27" s="392"/>
      <c r="K27" s="3"/>
      <c r="Q27" s="68"/>
    </row>
    <row r="28" spans="1:44" x14ac:dyDescent="0.25">
      <c r="A28" s="386" t="s">
        <v>337</v>
      </c>
      <c r="B28" s="401">
        <v>84</v>
      </c>
      <c r="C28" s="402"/>
      <c r="D28" s="402"/>
      <c r="E28" s="402"/>
      <c r="F28" s="402"/>
      <c r="G28" s="402"/>
      <c r="H28" s="402"/>
      <c r="I28" s="407">
        <v>90</v>
      </c>
      <c r="J28" s="393"/>
      <c r="K28" s="944" t="s">
        <v>52</v>
      </c>
      <c r="L28" s="928"/>
      <c r="M28" s="928"/>
      <c r="N28" s="928"/>
      <c r="O28" s="928"/>
      <c r="P28" s="928"/>
      <c r="Q28" s="929"/>
    </row>
    <row r="29" spans="1:44" x14ac:dyDescent="0.25">
      <c r="A29" s="3"/>
      <c r="B29" s="3"/>
      <c r="C29" s="1"/>
      <c r="D29" s="1"/>
      <c r="E29" s="1"/>
      <c r="F29" s="1"/>
      <c r="G29" s="1"/>
      <c r="H29" s="1"/>
      <c r="I29" s="1"/>
    </row>
    <row r="31" spans="1:44" x14ac:dyDescent="0.25">
      <c r="C31" s="2"/>
      <c r="D31" s="2"/>
    </row>
    <row r="32" spans="1:44" ht="15.75" thickBot="1" x14ac:dyDescent="0.3">
      <c r="A32" s="1"/>
      <c r="B32" s="1"/>
      <c r="C32" s="73"/>
      <c r="D32" s="73"/>
      <c r="E32" s="1"/>
      <c r="F32" s="1"/>
      <c r="G32" s="1"/>
      <c r="H32" s="1"/>
      <c r="I32" s="1"/>
      <c r="K32" s="1"/>
      <c r="L32" s="1"/>
      <c r="M32" s="1"/>
      <c r="N32" s="1"/>
      <c r="O32" s="1"/>
      <c r="P32" s="1"/>
      <c r="Q32" s="1"/>
      <c r="R32" s="1"/>
      <c r="S32" s="1"/>
      <c r="T32" s="1"/>
      <c r="U32" s="1"/>
      <c r="V32" s="938" t="s">
        <v>53</v>
      </c>
      <c r="W32" s="938"/>
      <c r="X32" s="938"/>
      <c r="Y32" s="939"/>
      <c r="Z32" s="939"/>
      <c r="AA32" s="939"/>
      <c r="AB32" s="939"/>
      <c r="AC32" s="939"/>
      <c r="AD32" s="939"/>
      <c r="AE32" s="939"/>
      <c r="AF32" s="939"/>
      <c r="AG32" s="939"/>
      <c r="AH32" s="939"/>
      <c r="AI32" s="939"/>
      <c r="AJ32" s="940"/>
      <c r="AK32" s="1"/>
      <c r="AL32" s="1"/>
      <c r="AM32" s="1"/>
      <c r="AN32" s="1"/>
      <c r="AO32" s="921" t="s">
        <v>53</v>
      </c>
      <c r="AP32" s="922"/>
      <c r="AQ32" s="923"/>
      <c r="AR32" s="1"/>
    </row>
    <row r="33" spans="1:48" ht="45.75" thickBot="1" x14ac:dyDescent="0.3">
      <c r="A33" s="23" t="s">
        <v>54</v>
      </c>
      <c r="B33" s="242" t="s">
        <v>55</v>
      </c>
      <c r="C33" s="242" t="s">
        <v>56</v>
      </c>
      <c r="D33" s="242" t="s">
        <v>57</v>
      </c>
      <c r="E33" s="242" t="s">
        <v>58</v>
      </c>
      <c r="F33" s="242" t="s">
        <v>338</v>
      </c>
      <c r="G33" s="242" t="s">
        <v>339</v>
      </c>
      <c r="H33" s="242" t="s">
        <v>61</v>
      </c>
      <c r="I33" s="242" t="s">
        <v>62</v>
      </c>
      <c r="J33" s="242" t="s">
        <v>340</v>
      </c>
      <c r="K33" s="243" t="s">
        <v>64</v>
      </c>
      <c r="L33" s="244" t="s">
        <v>66</v>
      </c>
      <c r="M33" s="242" t="s">
        <v>67</v>
      </c>
      <c r="N33" s="242" t="s">
        <v>68</v>
      </c>
      <c r="O33" s="242" t="s">
        <v>69</v>
      </c>
      <c r="P33" s="252" t="s">
        <v>70</v>
      </c>
      <c r="Q33" s="23">
        <v>2023</v>
      </c>
      <c r="R33" s="198">
        <v>2024</v>
      </c>
      <c r="S33" s="198">
        <v>2025</v>
      </c>
      <c r="T33" s="198">
        <v>2026</v>
      </c>
      <c r="U33" s="197">
        <v>2027</v>
      </c>
      <c r="V33" s="924" t="s">
        <v>341</v>
      </c>
      <c r="W33" s="924"/>
      <c r="X33" s="924"/>
      <c r="Y33" s="924">
        <v>2024</v>
      </c>
      <c r="Z33" s="945"/>
      <c r="AA33" s="946"/>
      <c r="AB33" s="924">
        <v>2025</v>
      </c>
      <c r="AC33" s="945"/>
      <c r="AD33" s="946"/>
      <c r="AE33" s="924">
        <v>2026</v>
      </c>
      <c r="AF33" s="945"/>
      <c r="AG33" s="946"/>
      <c r="AH33" s="924">
        <v>2027</v>
      </c>
      <c r="AI33" s="945"/>
      <c r="AJ33" s="945"/>
      <c r="AK33" s="21" t="s">
        <v>342</v>
      </c>
      <c r="AL33" s="22" t="s">
        <v>343</v>
      </c>
      <c r="AM33" s="22" t="s">
        <v>344</v>
      </c>
      <c r="AN33" s="21"/>
      <c r="AO33" s="924" t="s">
        <v>345</v>
      </c>
      <c r="AP33" s="925"/>
      <c r="AQ33" s="926"/>
      <c r="AR33" s="70" t="s">
        <v>346</v>
      </c>
    </row>
    <row r="34" spans="1:48" s="14" customFormat="1" ht="153" customHeight="1" thickBot="1" x14ac:dyDescent="0.3">
      <c r="A34" s="253" t="s">
        <v>77</v>
      </c>
      <c r="B34" s="296" t="s">
        <v>78</v>
      </c>
      <c r="C34" s="245" t="s">
        <v>79</v>
      </c>
      <c r="D34" s="245" t="s">
        <v>80</v>
      </c>
      <c r="E34" s="246" t="s">
        <v>81</v>
      </c>
      <c r="F34" s="246" t="s">
        <v>81</v>
      </c>
      <c r="G34" s="246" t="s">
        <v>82</v>
      </c>
      <c r="H34" s="245" t="s">
        <v>83</v>
      </c>
      <c r="I34" s="245" t="s">
        <v>84</v>
      </c>
      <c r="J34" s="245" t="s">
        <v>85</v>
      </c>
      <c r="K34" s="245" t="s">
        <v>347</v>
      </c>
      <c r="L34" s="247" t="s">
        <v>88</v>
      </c>
      <c r="M34" s="247" t="s">
        <v>89</v>
      </c>
      <c r="N34" s="248" t="s">
        <v>348</v>
      </c>
      <c r="O34" s="246" t="s">
        <v>81</v>
      </c>
      <c r="P34" s="249"/>
      <c r="Q34" s="941"/>
      <c r="R34" s="942"/>
      <c r="S34" s="942"/>
      <c r="T34" s="942"/>
      <c r="U34" s="943"/>
      <c r="V34" s="282" t="s">
        <v>91</v>
      </c>
      <c r="W34" s="283" t="s">
        <v>92</v>
      </c>
      <c r="X34" s="284" t="s">
        <v>93</v>
      </c>
      <c r="Y34" s="290" t="s">
        <v>91</v>
      </c>
      <c r="Z34" s="283" t="s">
        <v>92</v>
      </c>
      <c r="AA34" s="291" t="s">
        <v>93</v>
      </c>
      <c r="AB34" s="27" t="s">
        <v>91</v>
      </c>
      <c r="AC34" s="24" t="s">
        <v>92</v>
      </c>
      <c r="AD34" s="25" t="s">
        <v>93</v>
      </c>
      <c r="AE34" s="27" t="s">
        <v>91</v>
      </c>
      <c r="AF34" s="24" t="s">
        <v>92</v>
      </c>
      <c r="AG34" s="25" t="s">
        <v>93</v>
      </c>
      <c r="AH34" s="27" t="s">
        <v>91</v>
      </c>
      <c r="AI34" s="24" t="s">
        <v>92</v>
      </c>
      <c r="AJ34" s="26" t="s">
        <v>93</v>
      </c>
      <c r="AK34" s="254" t="s">
        <v>94</v>
      </c>
      <c r="AL34" s="255" t="s">
        <v>81</v>
      </c>
      <c r="AM34" s="267"/>
      <c r="AN34" s="257"/>
      <c r="AO34" s="27" t="s">
        <v>91</v>
      </c>
      <c r="AP34" s="24" t="s">
        <v>92</v>
      </c>
      <c r="AQ34" s="25" t="s">
        <v>93</v>
      </c>
      <c r="AR34" s="256" t="s">
        <v>349</v>
      </c>
      <c r="AV34" s="69"/>
    </row>
    <row r="35" spans="1:48" s="19" customFormat="1" ht="409.5" x14ac:dyDescent="0.25">
      <c r="A35" s="212" t="s">
        <v>2</v>
      </c>
      <c r="B35" s="212" t="s">
        <v>98</v>
      </c>
      <c r="C35" s="212" t="s">
        <v>99</v>
      </c>
      <c r="D35" s="213" t="s">
        <v>100</v>
      </c>
      <c r="E35" s="213" t="s">
        <v>101</v>
      </c>
      <c r="F35" s="213" t="s">
        <v>102</v>
      </c>
      <c r="G35" s="213" t="s">
        <v>103</v>
      </c>
      <c r="H35" s="213" t="s">
        <v>104</v>
      </c>
      <c r="I35" s="213" t="s">
        <v>105</v>
      </c>
      <c r="J35" s="213" t="s">
        <v>350</v>
      </c>
      <c r="K35" s="213" t="s">
        <v>351</v>
      </c>
      <c r="L35" s="213" t="s">
        <v>352</v>
      </c>
      <c r="M35" s="213" t="s">
        <v>353</v>
      </c>
      <c r="N35" s="213" t="s">
        <v>111</v>
      </c>
      <c r="O35" s="213" t="s">
        <v>112</v>
      </c>
      <c r="P35" s="200">
        <f t="shared" ref="P35:P66" si="1">SUM(Q35:U35)</f>
        <v>930000</v>
      </c>
      <c r="Q35" s="210">
        <f t="shared" ref="Q35:Q94" si="2">SUM(V35:X35)</f>
        <v>0</v>
      </c>
      <c r="R35" s="258">
        <f t="shared" ref="R35:R66" si="3">SUM(Y35:AA35)</f>
        <v>480000</v>
      </c>
      <c r="S35" s="258">
        <f t="shared" ref="S35:S66" si="4">SUM(AB35:AD35)</f>
        <v>450000</v>
      </c>
      <c r="T35" s="258">
        <f t="shared" ref="T35:T66" si="5">SUM(AE35:AG35)</f>
        <v>0</v>
      </c>
      <c r="U35" s="280">
        <f t="shared" ref="U35:U66" si="6">SUM(AH35:AJ35)</f>
        <v>0</v>
      </c>
      <c r="V35" s="210"/>
      <c r="W35" s="209"/>
      <c r="X35" s="287"/>
      <c r="Y35" s="210">
        <v>480000</v>
      </c>
      <c r="Z35" s="209"/>
      <c r="AA35" s="285"/>
      <c r="AB35" s="203">
        <v>450000</v>
      </c>
      <c r="AC35" s="204"/>
      <c r="AD35" s="206"/>
      <c r="AE35" s="205"/>
      <c r="AF35" s="204"/>
      <c r="AG35" s="206"/>
      <c r="AH35" s="205"/>
      <c r="AI35" s="204"/>
      <c r="AJ35" s="204"/>
      <c r="AK35" s="207" t="s">
        <v>354</v>
      </c>
      <c r="AL35" s="208" t="s">
        <v>114</v>
      </c>
      <c r="AM35" s="214"/>
      <c r="AN35" s="270"/>
      <c r="AO35" s="261"/>
      <c r="AP35" s="199"/>
      <c r="AQ35" s="262"/>
      <c r="AR35" s="339" t="s">
        <v>355</v>
      </c>
    </row>
    <row r="36" spans="1:48" s="32" customFormat="1" ht="409.5" x14ac:dyDescent="0.25">
      <c r="A36" s="212" t="s">
        <v>2</v>
      </c>
      <c r="B36" s="212" t="s">
        <v>98</v>
      </c>
      <c r="C36" s="212" t="s">
        <v>99</v>
      </c>
      <c r="D36" s="213" t="s">
        <v>116</v>
      </c>
      <c r="E36" s="213" t="s">
        <v>101</v>
      </c>
      <c r="F36" s="213" t="s">
        <v>102</v>
      </c>
      <c r="G36" s="213" t="s">
        <v>103</v>
      </c>
      <c r="H36" s="213" t="s">
        <v>117</v>
      </c>
      <c r="I36" s="213" t="s">
        <v>356</v>
      </c>
      <c r="J36" s="213" t="s">
        <v>258</v>
      </c>
      <c r="K36" s="213" t="s">
        <v>357</v>
      </c>
      <c r="L36" s="213" t="s">
        <v>352</v>
      </c>
      <c r="M36" s="213" t="s">
        <v>358</v>
      </c>
      <c r="N36" s="213" t="s">
        <v>121</v>
      </c>
      <c r="O36" s="213" t="s">
        <v>112</v>
      </c>
      <c r="P36" s="200">
        <f t="shared" si="1"/>
        <v>2653342</v>
      </c>
      <c r="Q36" s="201">
        <f t="shared" si="2"/>
        <v>276337</v>
      </c>
      <c r="R36" s="202">
        <f t="shared" si="3"/>
        <v>473843</v>
      </c>
      <c r="S36" s="202">
        <f t="shared" si="4"/>
        <v>507012</v>
      </c>
      <c r="T36" s="202">
        <f t="shared" si="5"/>
        <v>674468</v>
      </c>
      <c r="U36" s="203">
        <f t="shared" si="6"/>
        <v>721682</v>
      </c>
      <c r="V36" s="286">
        <v>110000</v>
      </c>
      <c r="W36" s="211">
        <v>166337</v>
      </c>
      <c r="X36" s="217"/>
      <c r="Y36" s="286"/>
      <c r="Z36" s="211">
        <v>473843</v>
      </c>
      <c r="AA36" s="218"/>
      <c r="AB36" s="203"/>
      <c r="AC36" s="204">
        <v>507012</v>
      </c>
      <c r="AD36" s="206"/>
      <c r="AE36" s="205">
        <v>0</v>
      </c>
      <c r="AF36" s="204">
        <v>674468</v>
      </c>
      <c r="AG36" s="206"/>
      <c r="AH36" s="205">
        <v>0</v>
      </c>
      <c r="AI36" s="204">
        <v>721682</v>
      </c>
      <c r="AJ36" s="204"/>
      <c r="AK36" s="207" t="s">
        <v>359</v>
      </c>
      <c r="AL36" s="208" t="s">
        <v>114</v>
      </c>
      <c r="AM36" s="214"/>
      <c r="AN36" s="270"/>
      <c r="AO36" s="261">
        <v>18590</v>
      </c>
      <c r="AP36" s="199">
        <v>52974</v>
      </c>
      <c r="AQ36" s="262"/>
      <c r="AR36" s="340" t="s">
        <v>360</v>
      </c>
    </row>
    <row r="37" spans="1:48" s="32" customFormat="1" ht="240" x14ac:dyDescent="0.25">
      <c r="A37" s="212" t="s">
        <v>2</v>
      </c>
      <c r="B37" s="212" t="s">
        <v>98</v>
      </c>
      <c r="C37" s="212" t="s">
        <v>98</v>
      </c>
      <c r="D37" s="213" t="s">
        <v>116</v>
      </c>
      <c r="E37" s="213" t="s">
        <v>101</v>
      </c>
      <c r="F37" s="213" t="s">
        <v>102</v>
      </c>
      <c r="G37" s="213" t="s">
        <v>103</v>
      </c>
      <c r="H37" s="213" t="s">
        <v>124</v>
      </c>
      <c r="I37" s="213" t="s">
        <v>125</v>
      </c>
      <c r="J37" s="213" t="s">
        <v>286</v>
      </c>
      <c r="K37" s="213" t="s">
        <v>361</v>
      </c>
      <c r="L37" s="213" t="s">
        <v>352</v>
      </c>
      <c r="M37" s="213" t="s">
        <v>362</v>
      </c>
      <c r="N37" s="213" t="s">
        <v>111</v>
      </c>
      <c r="O37" s="213" t="s">
        <v>112</v>
      </c>
      <c r="P37" s="200">
        <f t="shared" si="1"/>
        <v>364616</v>
      </c>
      <c r="Q37" s="201">
        <f t="shared" si="2"/>
        <v>51791</v>
      </c>
      <c r="R37" s="202">
        <f t="shared" si="3"/>
        <v>70457</v>
      </c>
      <c r="S37" s="202">
        <f t="shared" si="4"/>
        <v>75389</v>
      </c>
      <c r="T37" s="202">
        <f t="shared" si="5"/>
        <v>80666</v>
      </c>
      <c r="U37" s="203">
        <f t="shared" si="6"/>
        <v>86313</v>
      </c>
      <c r="V37" s="286"/>
      <c r="W37" s="211">
        <v>51791</v>
      </c>
      <c r="X37" s="217"/>
      <c r="Y37" s="286"/>
      <c r="Z37" s="211">
        <v>70457</v>
      </c>
      <c r="AA37" s="218"/>
      <c r="AB37" s="203"/>
      <c r="AC37" s="204">
        <v>75389</v>
      </c>
      <c r="AD37" s="206"/>
      <c r="AE37" s="205"/>
      <c r="AF37" s="204">
        <v>80666</v>
      </c>
      <c r="AG37" s="206"/>
      <c r="AH37" s="205"/>
      <c r="AI37" s="204">
        <v>86313</v>
      </c>
      <c r="AJ37" s="204"/>
      <c r="AK37" s="207" t="s">
        <v>363</v>
      </c>
      <c r="AL37" s="208" t="s">
        <v>114</v>
      </c>
      <c r="AM37" s="214"/>
      <c r="AN37" s="270"/>
      <c r="AO37" s="261"/>
      <c r="AP37" s="199">
        <v>7101</v>
      </c>
      <c r="AQ37" s="262"/>
      <c r="AR37" s="340" t="s">
        <v>364</v>
      </c>
    </row>
    <row r="38" spans="1:48" s="32" customFormat="1" ht="201.6" customHeight="1" x14ac:dyDescent="0.25">
      <c r="A38" s="212" t="s">
        <v>2</v>
      </c>
      <c r="B38" s="212" t="s">
        <v>98</v>
      </c>
      <c r="C38" s="212" t="s">
        <v>98</v>
      </c>
      <c r="D38" s="213" t="s">
        <v>130</v>
      </c>
      <c r="E38" s="213" t="s">
        <v>131</v>
      </c>
      <c r="F38" s="213" t="s">
        <v>132</v>
      </c>
      <c r="G38" s="213" t="s">
        <v>133</v>
      </c>
      <c r="H38" s="213" t="s">
        <v>134</v>
      </c>
      <c r="I38" s="213" t="s">
        <v>135</v>
      </c>
      <c r="J38" s="213" t="s">
        <v>365</v>
      </c>
      <c r="K38" s="213" t="s">
        <v>366</v>
      </c>
      <c r="L38" s="213" t="s">
        <v>352</v>
      </c>
      <c r="M38" s="213" t="s">
        <v>367</v>
      </c>
      <c r="N38" s="213" t="s">
        <v>111</v>
      </c>
      <c r="O38" s="213" t="s">
        <v>112</v>
      </c>
      <c r="P38" s="200">
        <f t="shared" si="1"/>
        <v>400000</v>
      </c>
      <c r="Q38" s="201">
        <f t="shared" si="2"/>
        <v>0</v>
      </c>
      <c r="R38" s="202">
        <f t="shared" si="3"/>
        <v>200000</v>
      </c>
      <c r="S38" s="202">
        <f t="shared" si="4"/>
        <v>200000</v>
      </c>
      <c r="T38" s="202">
        <f t="shared" si="5"/>
        <v>0</v>
      </c>
      <c r="U38" s="203">
        <f t="shared" si="6"/>
        <v>0</v>
      </c>
      <c r="V38" s="286"/>
      <c r="W38" s="211">
        <v>0</v>
      </c>
      <c r="X38" s="217"/>
      <c r="Y38" s="286"/>
      <c r="Z38" s="211">
        <v>0</v>
      </c>
      <c r="AA38" s="218">
        <v>200000</v>
      </c>
      <c r="AB38" s="203"/>
      <c r="AC38" s="204">
        <v>0</v>
      </c>
      <c r="AD38" s="206">
        <v>200000</v>
      </c>
      <c r="AE38" s="205"/>
      <c r="AF38" s="204"/>
      <c r="AG38" s="206"/>
      <c r="AH38" s="205"/>
      <c r="AI38" s="204"/>
      <c r="AJ38" s="204"/>
      <c r="AK38" s="207" t="s">
        <v>139</v>
      </c>
      <c r="AL38" s="208" t="s">
        <v>114</v>
      </c>
      <c r="AM38" s="214"/>
      <c r="AN38" s="270"/>
      <c r="AO38" s="261"/>
      <c r="AP38" s="199"/>
      <c r="AQ38" s="262"/>
      <c r="AR38" s="631" t="s">
        <v>368</v>
      </c>
    </row>
    <row r="39" spans="1:48" s="32" customFormat="1" ht="330" x14ac:dyDescent="0.25">
      <c r="A39" s="212" t="s">
        <v>2</v>
      </c>
      <c r="B39" s="212" t="s">
        <v>141</v>
      </c>
      <c r="C39" s="212" t="s">
        <v>141</v>
      </c>
      <c r="D39" s="213" t="s">
        <v>142</v>
      </c>
      <c r="E39" s="213" t="s">
        <v>131</v>
      </c>
      <c r="F39" s="213" t="s">
        <v>132</v>
      </c>
      <c r="G39" s="213" t="s">
        <v>133</v>
      </c>
      <c r="H39" s="213" t="s">
        <v>143</v>
      </c>
      <c r="I39" s="213" t="s">
        <v>144</v>
      </c>
      <c r="J39" s="213" t="s">
        <v>369</v>
      </c>
      <c r="K39" s="213" t="s">
        <v>370</v>
      </c>
      <c r="L39" s="213" t="s">
        <v>352</v>
      </c>
      <c r="M39" s="213" t="s">
        <v>367</v>
      </c>
      <c r="N39" s="213" t="s">
        <v>111</v>
      </c>
      <c r="O39" s="213" t="s">
        <v>112</v>
      </c>
      <c r="P39" s="200">
        <f t="shared" si="1"/>
        <v>810000</v>
      </c>
      <c r="Q39" s="201">
        <f t="shared" si="2"/>
        <v>50000</v>
      </c>
      <c r="R39" s="202">
        <f t="shared" si="3"/>
        <v>120000</v>
      </c>
      <c r="S39" s="202">
        <f t="shared" si="4"/>
        <v>240000</v>
      </c>
      <c r="T39" s="202">
        <f t="shared" si="5"/>
        <v>200000</v>
      </c>
      <c r="U39" s="203">
        <f t="shared" si="6"/>
        <v>200000</v>
      </c>
      <c r="V39" s="286"/>
      <c r="W39" s="211"/>
      <c r="X39" s="217">
        <v>50000</v>
      </c>
      <c r="Y39" s="286"/>
      <c r="Z39" s="211"/>
      <c r="AA39" s="218">
        <v>120000</v>
      </c>
      <c r="AB39" s="203"/>
      <c r="AC39" s="204"/>
      <c r="AD39" s="206">
        <v>240000</v>
      </c>
      <c r="AE39" s="205"/>
      <c r="AF39" s="204"/>
      <c r="AG39" s="206">
        <v>200000</v>
      </c>
      <c r="AH39" s="205"/>
      <c r="AI39" s="204"/>
      <c r="AJ39" s="204">
        <v>200000</v>
      </c>
      <c r="AK39" s="207" t="s">
        <v>371</v>
      </c>
      <c r="AL39" s="208" t="s">
        <v>114</v>
      </c>
      <c r="AM39" s="214"/>
      <c r="AN39" s="270"/>
      <c r="AO39" s="261"/>
      <c r="AP39" s="199"/>
      <c r="AQ39" s="262">
        <v>0</v>
      </c>
      <c r="AR39" s="340" t="s">
        <v>372</v>
      </c>
    </row>
    <row r="40" spans="1:48" s="19" customFormat="1" ht="285" x14ac:dyDescent="0.25">
      <c r="A40" s="212" t="s">
        <v>2</v>
      </c>
      <c r="B40" s="212" t="s">
        <v>148</v>
      </c>
      <c r="C40" s="212" t="s">
        <v>148</v>
      </c>
      <c r="D40" s="213" t="s">
        <v>148</v>
      </c>
      <c r="E40" s="213" t="s">
        <v>131</v>
      </c>
      <c r="F40" s="213" t="s">
        <v>132</v>
      </c>
      <c r="G40" s="213" t="s">
        <v>133</v>
      </c>
      <c r="H40" s="213" t="s">
        <v>149</v>
      </c>
      <c r="I40" s="213" t="s">
        <v>150</v>
      </c>
      <c r="J40" s="213" t="s">
        <v>151</v>
      </c>
      <c r="K40" s="213" t="s">
        <v>373</v>
      </c>
      <c r="L40" s="213" t="s">
        <v>352</v>
      </c>
      <c r="M40" s="213" t="s">
        <v>367</v>
      </c>
      <c r="N40" s="213" t="s">
        <v>111</v>
      </c>
      <c r="O40" s="213" t="s">
        <v>112</v>
      </c>
      <c r="P40" s="200">
        <f t="shared" si="1"/>
        <v>90000</v>
      </c>
      <c r="Q40" s="201">
        <f t="shared" si="2"/>
        <v>0</v>
      </c>
      <c r="R40" s="202">
        <f t="shared" si="3"/>
        <v>20000</v>
      </c>
      <c r="S40" s="202">
        <f t="shared" si="4"/>
        <v>50000</v>
      </c>
      <c r="T40" s="202">
        <f t="shared" si="5"/>
        <v>10000</v>
      </c>
      <c r="U40" s="203">
        <f t="shared" si="6"/>
        <v>10000</v>
      </c>
      <c r="V40" s="286"/>
      <c r="W40" s="211"/>
      <c r="X40" s="217"/>
      <c r="Y40" s="286"/>
      <c r="Z40" s="211"/>
      <c r="AA40" s="218">
        <v>20000</v>
      </c>
      <c r="AB40" s="203"/>
      <c r="AC40" s="204"/>
      <c r="AD40" s="206">
        <v>50000</v>
      </c>
      <c r="AE40" s="205"/>
      <c r="AF40" s="204"/>
      <c r="AG40" s="206">
        <v>10000</v>
      </c>
      <c r="AH40" s="205"/>
      <c r="AI40" s="204"/>
      <c r="AJ40" s="204">
        <v>10000</v>
      </c>
      <c r="AK40" s="207" t="s">
        <v>153</v>
      </c>
      <c r="AL40" s="208" t="s">
        <v>114</v>
      </c>
      <c r="AM40" s="214"/>
      <c r="AN40" s="270"/>
      <c r="AO40" s="261"/>
      <c r="AP40" s="199"/>
      <c r="AQ40" s="262"/>
      <c r="AR40" s="631" t="s">
        <v>374</v>
      </c>
    </row>
    <row r="41" spans="1:48" s="32" customFormat="1" ht="120" x14ac:dyDescent="0.25">
      <c r="A41" s="238" t="s">
        <v>2</v>
      </c>
      <c r="B41" s="212" t="s">
        <v>99</v>
      </c>
      <c r="C41" s="212" t="s">
        <v>99</v>
      </c>
      <c r="D41" s="213" t="s">
        <v>99</v>
      </c>
      <c r="E41" s="213" t="s">
        <v>131</v>
      </c>
      <c r="F41" s="213" t="s">
        <v>132</v>
      </c>
      <c r="G41" s="213" t="s">
        <v>133</v>
      </c>
      <c r="H41" s="213" t="s">
        <v>154</v>
      </c>
      <c r="I41" s="213" t="s">
        <v>155</v>
      </c>
      <c r="J41" s="213" t="s">
        <v>375</v>
      </c>
      <c r="K41" s="213" t="s">
        <v>376</v>
      </c>
      <c r="L41" s="213" t="s">
        <v>352</v>
      </c>
      <c r="M41" s="213" t="s">
        <v>367</v>
      </c>
      <c r="N41" s="213" t="s">
        <v>111</v>
      </c>
      <c r="O41" s="213" t="s">
        <v>112</v>
      </c>
      <c r="P41" s="200">
        <f t="shared" si="1"/>
        <v>470000</v>
      </c>
      <c r="Q41" s="201">
        <f t="shared" si="2"/>
        <v>0</v>
      </c>
      <c r="R41" s="202">
        <f t="shared" si="3"/>
        <v>110000</v>
      </c>
      <c r="S41" s="202">
        <f t="shared" si="4"/>
        <v>120000</v>
      </c>
      <c r="T41" s="202">
        <f t="shared" si="5"/>
        <v>120000</v>
      </c>
      <c r="U41" s="203">
        <f t="shared" si="6"/>
        <v>120000</v>
      </c>
      <c r="V41" s="286"/>
      <c r="W41" s="211"/>
      <c r="X41" s="217">
        <v>0</v>
      </c>
      <c r="Y41" s="286"/>
      <c r="Z41" s="211"/>
      <c r="AA41" s="218">
        <v>110000</v>
      </c>
      <c r="AB41" s="203"/>
      <c r="AC41" s="204"/>
      <c r="AD41" s="206">
        <v>120000</v>
      </c>
      <c r="AE41" s="205"/>
      <c r="AF41" s="204"/>
      <c r="AG41" s="206">
        <v>120000</v>
      </c>
      <c r="AH41" s="205"/>
      <c r="AI41" s="204"/>
      <c r="AJ41" s="204">
        <v>120000</v>
      </c>
      <c r="AK41" s="207" t="s">
        <v>157</v>
      </c>
      <c r="AL41" s="208" t="s">
        <v>114</v>
      </c>
      <c r="AM41" s="214"/>
      <c r="AN41" s="270"/>
      <c r="AO41" s="261"/>
      <c r="AP41" s="199"/>
      <c r="AQ41" s="262"/>
      <c r="AR41" s="340" t="s">
        <v>377</v>
      </c>
    </row>
    <row r="42" spans="1:48" s="32" customFormat="1" ht="105" x14ac:dyDescent="0.25">
      <c r="A42" s="238" t="s">
        <v>2</v>
      </c>
      <c r="B42" s="212" t="s">
        <v>98</v>
      </c>
      <c r="C42" s="212" t="s">
        <v>98</v>
      </c>
      <c r="D42" s="213" t="s">
        <v>98</v>
      </c>
      <c r="E42" s="213" t="s">
        <v>131</v>
      </c>
      <c r="F42" s="213" t="s">
        <v>132</v>
      </c>
      <c r="G42" s="213" t="s">
        <v>133</v>
      </c>
      <c r="H42" s="213" t="s">
        <v>158</v>
      </c>
      <c r="I42" s="213" t="s">
        <v>159</v>
      </c>
      <c r="J42" s="213" t="s">
        <v>378</v>
      </c>
      <c r="K42" s="213" t="s">
        <v>379</v>
      </c>
      <c r="L42" s="213" t="s">
        <v>352</v>
      </c>
      <c r="M42" s="213" t="s">
        <v>380</v>
      </c>
      <c r="N42" s="213" t="s">
        <v>111</v>
      </c>
      <c r="O42" s="213" t="s">
        <v>112</v>
      </c>
      <c r="P42" s="200">
        <f t="shared" si="1"/>
        <v>516233</v>
      </c>
      <c r="Q42" s="201">
        <f t="shared" si="2"/>
        <v>56455</v>
      </c>
      <c r="R42" s="202">
        <f t="shared" si="3"/>
        <v>103555</v>
      </c>
      <c r="S42" s="202">
        <f t="shared" si="4"/>
        <v>110804</v>
      </c>
      <c r="T42" s="202">
        <f t="shared" si="5"/>
        <v>118560</v>
      </c>
      <c r="U42" s="203">
        <f t="shared" si="6"/>
        <v>126859</v>
      </c>
      <c r="V42" s="286"/>
      <c r="W42" s="211">
        <v>56455</v>
      </c>
      <c r="X42" s="217"/>
      <c r="Y42" s="286"/>
      <c r="Z42" s="211">
        <v>103555</v>
      </c>
      <c r="AA42" s="218"/>
      <c r="AB42" s="203"/>
      <c r="AC42" s="204">
        <v>110804</v>
      </c>
      <c r="AD42" s="206"/>
      <c r="AE42" s="205"/>
      <c r="AF42" s="204">
        <v>118560</v>
      </c>
      <c r="AG42" s="206"/>
      <c r="AH42" s="205"/>
      <c r="AI42" s="204">
        <v>126859</v>
      </c>
      <c r="AJ42" s="204"/>
      <c r="AK42" s="207" t="s">
        <v>161</v>
      </c>
      <c r="AL42" s="208" t="s">
        <v>114</v>
      </c>
      <c r="AM42" s="214"/>
      <c r="AN42" s="270"/>
      <c r="AO42" s="261"/>
      <c r="AP42" s="199">
        <v>20873</v>
      </c>
      <c r="AQ42" s="262"/>
      <c r="AR42" s="340" t="s">
        <v>381</v>
      </c>
    </row>
    <row r="43" spans="1:48" s="32" customFormat="1" ht="90" x14ac:dyDescent="0.25">
      <c r="A43" s="238" t="s">
        <v>2</v>
      </c>
      <c r="B43" s="212" t="s">
        <v>162</v>
      </c>
      <c r="C43" s="212" t="s">
        <v>162</v>
      </c>
      <c r="D43" s="213" t="s">
        <v>162</v>
      </c>
      <c r="E43" s="213" t="s">
        <v>131</v>
      </c>
      <c r="F43" s="213" t="s">
        <v>132</v>
      </c>
      <c r="G43" s="213" t="s">
        <v>133</v>
      </c>
      <c r="H43" s="213" t="s">
        <v>163</v>
      </c>
      <c r="I43" s="213" t="s">
        <v>164</v>
      </c>
      <c r="J43" s="213" t="s">
        <v>294</v>
      </c>
      <c r="K43" s="213" t="s">
        <v>382</v>
      </c>
      <c r="L43" s="213" t="s">
        <v>352</v>
      </c>
      <c r="M43" s="213" t="s">
        <v>380</v>
      </c>
      <c r="N43" s="213" t="s">
        <v>111</v>
      </c>
      <c r="O43" s="213" t="s">
        <v>112</v>
      </c>
      <c r="P43" s="200">
        <f t="shared" si="1"/>
        <v>356858</v>
      </c>
      <c r="Q43" s="201">
        <f t="shared" si="2"/>
        <v>0</v>
      </c>
      <c r="R43" s="202">
        <f t="shared" si="3"/>
        <v>80374</v>
      </c>
      <c r="S43" s="202">
        <f t="shared" si="4"/>
        <v>86001</v>
      </c>
      <c r="T43" s="202">
        <f t="shared" si="5"/>
        <v>92021</v>
      </c>
      <c r="U43" s="203">
        <f t="shared" si="6"/>
        <v>98462</v>
      </c>
      <c r="V43" s="286"/>
      <c r="W43" s="211">
        <v>0</v>
      </c>
      <c r="X43" s="217"/>
      <c r="Y43" s="286"/>
      <c r="Z43" s="211">
        <v>80374</v>
      </c>
      <c r="AA43" s="218"/>
      <c r="AB43" s="203"/>
      <c r="AC43" s="204">
        <v>86001</v>
      </c>
      <c r="AD43" s="206"/>
      <c r="AE43" s="205"/>
      <c r="AF43" s="204">
        <v>92021</v>
      </c>
      <c r="AG43" s="206"/>
      <c r="AH43" s="205"/>
      <c r="AI43" s="204">
        <v>98462</v>
      </c>
      <c r="AJ43" s="204"/>
      <c r="AK43" s="207" t="s">
        <v>167</v>
      </c>
      <c r="AL43" s="208" t="s">
        <v>114</v>
      </c>
      <c r="AM43" s="214"/>
      <c r="AN43" s="270"/>
      <c r="AO43" s="261"/>
      <c r="AP43" s="199"/>
      <c r="AQ43" s="262"/>
      <c r="AR43" s="340" t="s">
        <v>383</v>
      </c>
    </row>
    <row r="44" spans="1:48" s="32" customFormat="1" ht="409.5" x14ac:dyDescent="0.25">
      <c r="A44" s="238" t="s">
        <v>2</v>
      </c>
      <c r="B44" s="212" t="s">
        <v>98</v>
      </c>
      <c r="C44" s="212" t="s">
        <v>98</v>
      </c>
      <c r="D44" s="213" t="s">
        <v>98</v>
      </c>
      <c r="E44" s="213" t="s">
        <v>101</v>
      </c>
      <c r="F44" s="213" t="s">
        <v>102</v>
      </c>
      <c r="G44" s="213" t="s">
        <v>168</v>
      </c>
      <c r="H44" s="213" t="s">
        <v>158</v>
      </c>
      <c r="I44" s="213" t="s">
        <v>169</v>
      </c>
      <c r="J44" s="213" t="s">
        <v>384</v>
      </c>
      <c r="K44" s="213" t="s">
        <v>385</v>
      </c>
      <c r="L44" s="213" t="s">
        <v>352</v>
      </c>
      <c r="M44" s="213" t="s">
        <v>380</v>
      </c>
      <c r="N44" s="213" t="s">
        <v>111</v>
      </c>
      <c r="O44" s="213" t="s">
        <v>112</v>
      </c>
      <c r="P44" s="200">
        <f t="shared" si="1"/>
        <v>1475424</v>
      </c>
      <c r="Q44" s="201">
        <f t="shared" si="2"/>
        <v>117657</v>
      </c>
      <c r="R44" s="202">
        <f t="shared" si="3"/>
        <v>303006</v>
      </c>
      <c r="S44" s="202">
        <f t="shared" si="4"/>
        <v>328085</v>
      </c>
      <c r="T44" s="202">
        <f t="shared" si="5"/>
        <v>351051</v>
      </c>
      <c r="U44" s="203">
        <f t="shared" si="6"/>
        <v>375625</v>
      </c>
      <c r="V44" s="286"/>
      <c r="W44" s="211">
        <v>117657</v>
      </c>
      <c r="X44" s="217"/>
      <c r="Y44" s="286"/>
      <c r="Z44" s="211">
        <v>303006</v>
      </c>
      <c r="AA44" s="218"/>
      <c r="AB44" s="203"/>
      <c r="AC44" s="204">
        <v>328085</v>
      </c>
      <c r="AD44" s="206"/>
      <c r="AE44" s="205"/>
      <c r="AF44" s="204">
        <v>351051</v>
      </c>
      <c r="AG44" s="206"/>
      <c r="AH44" s="205"/>
      <c r="AI44" s="204">
        <v>375625</v>
      </c>
      <c r="AJ44" s="204"/>
      <c r="AK44" s="207" t="s">
        <v>172</v>
      </c>
      <c r="AL44" s="208" t="s">
        <v>114</v>
      </c>
      <c r="AM44" s="214"/>
      <c r="AN44" s="270"/>
      <c r="AO44" s="261"/>
      <c r="AP44" s="199">
        <v>47125</v>
      </c>
      <c r="AQ44" s="262"/>
      <c r="AR44" s="340" t="s">
        <v>386</v>
      </c>
    </row>
    <row r="45" spans="1:48" s="32" customFormat="1" ht="90" x14ac:dyDescent="0.25">
      <c r="A45" s="238" t="s">
        <v>2</v>
      </c>
      <c r="B45" s="212" t="s">
        <v>162</v>
      </c>
      <c r="C45" s="212" t="s">
        <v>162</v>
      </c>
      <c r="D45" s="213" t="s">
        <v>162</v>
      </c>
      <c r="E45" s="213" t="s">
        <v>101</v>
      </c>
      <c r="F45" s="213" t="s">
        <v>102</v>
      </c>
      <c r="G45" s="213" t="s">
        <v>168</v>
      </c>
      <c r="H45" s="213" t="s">
        <v>163</v>
      </c>
      <c r="I45" s="213" t="s">
        <v>173</v>
      </c>
      <c r="J45" s="213" t="s">
        <v>297</v>
      </c>
      <c r="K45" s="213" t="s">
        <v>387</v>
      </c>
      <c r="L45" s="213" t="s">
        <v>352</v>
      </c>
      <c r="M45" s="213" t="s">
        <v>380</v>
      </c>
      <c r="N45" s="213" t="s">
        <v>111</v>
      </c>
      <c r="O45" s="213" t="s">
        <v>112</v>
      </c>
      <c r="P45" s="200">
        <f t="shared" si="1"/>
        <v>351236</v>
      </c>
      <c r="Q45" s="201">
        <f t="shared" si="2"/>
        <v>38411</v>
      </c>
      <c r="R45" s="202">
        <f t="shared" si="3"/>
        <v>70457</v>
      </c>
      <c r="S45" s="202">
        <f t="shared" si="4"/>
        <v>75389</v>
      </c>
      <c r="T45" s="202">
        <f t="shared" si="5"/>
        <v>80666</v>
      </c>
      <c r="U45" s="203">
        <f t="shared" si="6"/>
        <v>86313</v>
      </c>
      <c r="V45" s="286"/>
      <c r="W45" s="211">
        <v>38411</v>
      </c>
      <c r="X45" s="217"/>
      <c r="Y45" s="286"/>
      <c r="Z45" s="211">
        <v>70457</v>
      </c>
      <c r="AA45" s="218"/>
      <c r="AB45" s="203"/>
      <c r="AC45" s="204">
        <v>75389</v>
      </c>
      <c r="AD45" s="206"/>
      <c r="AE45" s="205"/>
      <c r="AF45" s="204">
        <v>80666</v>
      </c>
      <c r="AG45" s="206"/>
      <c r="AH45" s="205"/>
      <c r="AI45" s="204">
        <v>86313</v>
      </c>
      <c r="AJ45" s="204"/>
      <c r="AK45" s="207" t="s">
        <v>176</v>
      </c>
      <c r="AL45" s="208" t="s">
        <v>114</v>
      </c>
      <c r="AM45" s="214"/>
      <c r="AN45" s="270"/>
      <c r="AO45" s="261"/>
      <c r="AP45" s="199"/>
      <c r="AQ45" s="262"/>
      <c r="AR45" s="631" t="s">
        <v>388</v>
      </c>
    </row>
    <row r="46" spans="1:48" s="19" customFormat="1" ht="240" x14ac:dyDescent="0.25">
      <c r="A46" s="238" t="s">
        <v>2</v>
      </c>
      <c r="B46" s="212" t="s">
        <v>99</v>
      </c>
      <c r="C46" s="212" t="s">
        <v>99</v>
      </c>
      <c r="D46" s="213" t="s">
        <v>177</v>
      </c>
      <c r="E46" s="213" t="s">
        <v>101</v>
      </c>
      <c r="F46" s="213" t="s">
        <v>178</v>
      </c>
      <c r="G46" s="213" t="s">
        <v>103</v>
      </c>
      <c r="H46" s="213" t="s">
        <v>179</v>
      </c>
      <c r="I46" s="213" t="s">
        <v>180</v>
      </c>
      <c r="J46" s="213" t="s">
        <v>291</v>
      </c>
      <c r="K46" s="213" t="s">
        <v>389</v>
      </c>
      <c r="L46" s="213" t="s">
        <v>352</v>
      </c>
      <c r="M46" s="213" t="s">
        <v>380</v>
      </c>
      <c r="N46" s="213" t="s">
        <v>111</v>
      </c>
      <c r="O46" s="213" t="s">
        <v>112</v>
      </c>
      <c r="P46" s="200">
        <f t="shared" si="1"/>
        <v>2259114</v>
      </c>
      <c r="Q46" s="201">
        <f t="shared" si="2"/>
        <v>247057</v>
      </c>
      <c r="R46" s="202">
        <f t="shared" si="3"/>
        <v>453173</v>
      </c>
      <c r="S46" s="202">
        <f t="shared" si="4"/>
        <v>484894</v>
      </c>
      <c r="T46" s="202">
        <f t="shared" si="5"/>
        <v>518836</v>
      </c>
      <c r="U46" s="203">
        <f t="shared" si="6"/>
        <v>555154</v>
      </c>
      <c r="V46" s="286"/>
      <c r="W46" s="211">
        <v>247057</v>
      </c>
      <c r="X46" s="217"/>
      <c r="Y46" s="286"/>
      <c r="Z46" s="211">
        <v>453173</v>
      </c>
      <c r="AA46" s="218"/>
      <c r="AB46" s="203"/>
      <c r="AC46" s="204">
        <v>484894</v>
      </c>
      <c r="AD46" s="206"/>
      <c r="AE46" s="205"/>
      <c r="AF46" s="204">
        <v>518836</v>
      </c>
      <c r="AG46" s="206"/>
      <c r="AH46" s="205"/>
      <c r="AI46" s="204">
        <v>555154</v>
      </c>
      <c r="AJ46" s="204"/>
      <c r="AK46" s="207" t="s">
        <v>184</v>
      </c>
      <c r="AL46" s="208" t="s">
        <v>114</v>
      </c>
      <c r="AM46" s="214"/>
      <c r="AN46" s="270"/>
      <c r="AO46" s="261"/>
      <c r="AP46" s="199">
        <v>53753</v>
      </c>
      <c r="AQ46" s="262"/>
      <c r="AR46" s="340" t="s">
        <v>390</v>
      </c>
    </row>
    <row r="47" spans="1:48" s="19" customFormat="1" ht="45" x14ac:dyDescent="0.25">
      <c r="A47" s="238" t="s">
        <v>2</v>
      </c>
      <c r="B47" s="212" t="s">
        <v>98</v>
      </c>
      <c r="C47" s="212" t="s">
        <v>98</v>
      </c>
      <c r="D47" s="213" t="s">
        <v>185</v>
      </c>
      <c r="E47" s="213"/>
      <c r="F47" s="213"/>
      <c r="G47" s="213"/>
      <c r="H47" s="213" t="s">
        <v>391</v>
      </c>
      <c r="I47" s="213" t="s">
        <v>187</v>
      </c>
      <c r="J47" s="213" t="s">
        <v>187</v>
      </c>
      <c r="K47" s="213"/>
      <c r="L47" s="213" t="s">
        <v>352</v>
      </c>
      <c r="M47" s="213"/>
      <c r="N47" s="213" t="s">
        <v>111</v>
      </c>
      <c r="O47" s="213" t="s">
        <v>112</v>
      </c>
      <c r="P47" s="200">
        <f t="shared" si="1"/>
        <v>86919</v>
      </c>
      <c r="Q47" s="201">
        <f t="shared" si="2"/>
        <v>16462</v>
      </c>
      <c r="R47" s="202">
        <f t="shared" si="3"/>
        <v>70457</v>
      </c>
      <c r="S47" s="202">
        <f t="shared" si="4"/>
        <v>0</v>
      </c>
      <c r="T47" s="202">
        <f t="shared" si="5"/>
        <v>0</v>
      </c>
      <c r="U47" s="203">
        <f t="shared" si="6"/>
        <v>0</v>
      </c>
      <c r="V47" s="286"/>
      <c r="W47" s="211">
        <v>16462</v>
      </c>
      <c r="X47" s="217"/>
      <c r="Y47" s="286"/>
      <c r="Z47" s="211">
        <v>70457</v>
      </c>
      <c r="AA47" s="218"/>
      <c r="AB47" s="203"/>
      <c r="AC47" s="204"/>
      <c r="AD47" s="206"/>
      <c r="AE47" s="205"/>
      <c r="AF47" s="204"/>
      <c r="AG47" s="206"/>
      <c r="AH47" s="205"/>
      <c r="AI47" s="204"/>
      <c r="AJ47" s="204"/>
      <c r="AK47" s="207"/>
      <c r="AL47" s="208"/>
      <c r="AM47" s="214"/>
      <c r="AN47" s="270"/>
      <c r="AO47" s="261"/>
      <c r="AP47" s="199"/>
      <c r="AQ47" s="262"/>
      <c r="AR47" s="340" t="s">
        <v>392</v>
      </c>
    </row>
    <row r="48" spans="1:48" s="32" customFormat="1" ht="15.75" x14ac:dyDescent="0.25">
      <c r="A48" s="238"/>
      <c r="B48" s="212"/>
      <c r="C48" s="212"/>
      <c r="D48" s="213"/>
      <c r="E48" s="213"/>
      <c r="F48" s="213"/>
      <c r="G48" s="213"/>
      <c r="H48" s="213"/>
      <c r="I48" s="213"/>
      <c r="J48" s="213"/>
      <c r="K48" s="213"/>
      <c r="L48" s="213"/>
      <c r="M48" s="213"/>
      <c r="N48" s="213"/>
      <c r="O48" s="213"/>
      <c r="P48" s="200">
        <f t="shared" si="1"/>
        <v>0</v>
      </c>
      <c r="Q48" s="201">
        <f t="shared" si="2"/>
        <v>0</v>
      </c>
      <c r="R48" s="202">
        <f t="shared" si="3"/>
        <v>0</v>
      </c>
      <c r="S48" s="202">
        <f t="shared" si="4"/>
        <v>0</v>
      </c>
      <c r="T48" s="202">
        <f t="shared" si="5"/>
        <v>0</v>
      </c>
      <c r="U48" s="203">
        <f t="shared" si="6"/>
        <v>0</v>
      </c>
      <c r="V48" s="286"/>
      <c r="W48" s="211"/>
      <c r="X48" s="217"/>
      <c r="Y48" s="286"/>
      <c r="Z48" s="211"/>
      <c r="AA48" s="218"/>
      <c r="AB48" s="203"/>
      <c r="AC48" s="204"/>
      <c r="AD48" s="206"/>
      <c r="AE48" s="205"/>
      <c r="AF48" s="204"/>
      <c r="AG48" s="206"/>
      <c r="AH48" s="205"/>
      <c r="AI48" s="204"/>
      <c r="AJ48" s="204"/>
      <c r="AK48" s="207"/>
      <c r="AL48" s="208"/>
      <c r="AM48" s="214"/>
      <c r="AN48" s="270"/>
      <c r="AO48" s="261"/>
      <c r="AP48" s="199"/>
      <c r="AQ48" s="262"/>
      <c r="AR48" s="340"/>
    </row>
    <row r="49" spans="1:44" s="19" customFormat="1" ht="15.75" x14ac:dyDescent="0.25">
      <c r="A49" s="238"/>
      <c r="B49" s="212"/>
      <c r="C49" s="212"/>
      <c r="D49" s="213"/>
      <c r="E49" s="213"/>
      <c r="F49" s="213"/>
      <c r="G49" s="213"/>
      <c r="H49" s="213"/>
      <c r="I49" s="213"/>
      <c r="J49" s="213"/>
      <c r="K49" s="213"/>
      <c r="L49" s="213"/>
      <c r="M49" s="213"/>
      <c r="N49" s="213"/>
      <c r="O49" s="213"/>
      <c r="P49" s="200">
        <f t="shared" si="1"/>
        <v>0</v>
      </c>
      <c r="Q49" s="201">
        <f t="shared" si="2"/>
        <v>0</v>
      </c>
      <c r="R49" s="202">
        <f t="shared" si="3"/>
        <v>0</v>
      </c>
      <c r="S49" s="202">
        <f t="shared" si="4"/>
        <v>0</v>
      </c>
      <c r="T49" s="202">
        <f t="shared" si="5"/>
        <v>0</v>
      </c>
      <c r="U49" s="203">
        <f t="shared" si="6"/>
        <v>0</v>
      </c>
      <c r="V49" s="286"/>
      <c r="W49" s="211"/>
      <c r="X49" s="217"/>
      <c r="Y49" s="286"/>
      <c r="Z49" s="211"/>
      <c r="AA49" s="218"/>
      <c r="AB49" s="203"/>
      <c r="AC49" s="204"/>
      <c r="AD49" s="206"/>
      <c r="AE49" s="205"/>
      <c r="AF49" s="204"/>
      <c r="AG49" s="206"/>
      <c r="AH49" s="205"/>
      <c r="AI49" s="204"/>
      <c r="AJ49" s="204"/>
      <c r="AK49" s="207"/>
      <c r="AL49" s="208"/>
      <c r="AM49" s="214"/>
      <c r="AN49" s="270"/>
      <c r="AO49" s="261"/>
      <c r="AP49" s="199"/>
      <c r="AQ49" s="262"/>
      <c r="AR49" s="340"/>
    </row>
    <row r="50" spans="1:44" s="32" customFormat="1" ht="15.75" x14ac:dyDescent="0.25">
      <c r="A50" s="238"/>
      <c r="B50" s="212"/>
      <c r="C50" s="212"/>
      <c r="D50" s="213"/>
      <c r="E50" s="213"/>
      <c r="F50" s="213"/>
      <c r="G50" s="213"/>
      <c r="H50" s="213"/>
      <c r="I50" s="213"/>
      <c r="J50" s="213"/>
      <c r="K50" s="213"/>
      <c r="L50" s="213"/>
      <c r="M50" s="213"/>
      <c r="N50" s="213"/>
      <c r="O50" s="213"/>
      <c r="P50" s="200">
        <f t="shared" si="1"/>
        <v>0</v>
      </c>
      <c r="Q50" s="201">
        <f t="shared" si="2"/>
        <v>0</v>
      </c>
      <c r="R50" s="202">
        <f t="shared" si="3"/>
        <v>0</v>
      </c>
      <c r="S50" s="202">
        <f t="shared" si="4"/>
        <v>0</v>
      </c>
      <c r="T50" s="202">
        <f t="shared" si="5"/>
        <v>0</v>
      </c>
      <c r="U50" s="203">
        <f t="shared" si="6"/>
        <v>0</v>
      </c>
      <c r="V50" s="286"/>
      <c r="W50" s="211"/>
      <c r="X50" s="217"/>
      <c r="Y50" s="286"/>
      <c r="Z50" s="211"/>
      <c r="AA50" s="218"/>
      <c r="AB50" s="203"/>
      <c r="AC50" s="204"/>
      <c r="AD50" s="206"/>
      <c r="AE50" s="205"/>
      <c r="AF50" s="204"/>
      <c r="AG50" s="206"/>
      <c r="AH50" s="205"/>
      <c r="AI50" s="204"/>
      <c r="AJ50" s="204"/>
      <c r="AK50" s="207"/>
      <c r="AL50" s="208"/>
      <c r="AM50" s="214"/>
      <c r="AN50" s="270"/>
      <c r="AO50" s="261"/>
      <c r="AP50" s="199"/>
      <c r="AQ50" s="262"/>
      <c r="AR50" s="340"/>
    </row>
    <row r="51" spans="1:44" s="32" customFormat="1" ht="15.75" x14ac:dyDescent="0.25">
      <c r="A51" s="238"/>
      <c r="B51" s="212"/>
      <c r="C51" s="212"/>
      <c r="D51" s="213"/>
      <c r="E51" s="213"/>
      <c r="F51" s="213"/>
      <c r="G51" s="213"/>
      <c r="H51" s="213"/>
      <c r="I51" s="213"/>
      <c r="J51" s="213"/>
      <c r="K51" s="213"/>
      <c r="L51" s="213"/>
      <c r="M51" s="213"/>
      <c r="N51" s="213"/>
      <c r="O51" s="213"/>
      <c r="P51" s="200">
        <f t="shared" si="1"/>
        <v>0</v>
      </c>
      <c r="Q51" s="201">
        <f t="shared" si="2"/>
        <v>0</v>
      </c>
      <c r="R51" s="202">
        <f t="shared" si="3"/>
        <v>0</v>
      </c>
      <c r="S51" s="202">
        <f t="shared" si="4"/>
        <v>0</v>
      </c>
      <c r="T51" s="202">
        <f t="shared" si="5"/>
        <v>0</v>
      </c>
      <c r="U51" s="203">
        <f t="shared" si="6"/>
        <v>0</v>
      </c>
      <c r="V51" s="286"/>
      <c r="W51" s="211"/>
      <c r="X51" s="217"/>
      <c r="Y51" s="286"/>
      <c r="Z51" s="211"/>
      <c r="AA51" s="218"/>
      <c r="AB51" s="203"/>
      <c r="AC51" s="204"/>
      <c r="AD51" s="206"/>
      <c r="AE51" s="205"/>
      <c r="AF51" s="204"/>
      <c r="AG51" s="206"/>
      <c r="AH51" s="205"/>
      <c r="AI51" s="204"/>
      <c r="AJ51" s="204"/>
      <c r="AK51" s="207"/>
      <c r="AL51" s="208"/>
      <c r="AM51" s="214"/>
      <c r="AN51" s="270"/>
      <c r="AO51" s="261"/>
      <c r="AP51" s="199"/>
      <c r="AQ51" s="262"/>
      <c r="AR51" s="340"/>
    </row>
    <row r="52" spans="1:44" s="32" customFormat="1" ht="15.75" x14ac:dyDescent="0.25">
      <c r="A52" s="238"/>
      <c r="B52" s="212"/>
      <c r="C52" s="212"/>
      <c r="D52" s="213"/>
      <c r="E52" s="213"/>
      <c r="F52" s="213"/>
      <c r="G52" s="213"/>
      <c r="H52" s="213"/>
      <c r="I52" s="213"/>
      <c r="J52" s="213"/>
      <c r="K52" s="213"/>
      <c r="L52" s="213"/>
      <c r="M52" s="213"/>
      <c r="N52" s="213"/>
      <c r="O52" s="213"/>
      <c r="P52" s="200">
        <f t="shared" si="1"/>
        <v>0</v>
      </c>
      <c r="Q52" s="201">
        <f t="shared" si="2"/>
        <v>0</v>
      </c>
      <c r="R52" s="202">
        <f t="shared" si="3"/>
        <v>0</v>
      </c>
      <c r="S52" s="202">
        <f t="shared" si="4"/>
        <v>0</v>
      </c>
      <c r="T52" s="202">
        <f t="shared" si="5"/>
        <v>0</v>
      </c>
      <c r="U52" s="203">
        <f t="shared" si="6"/>
        <v>0</v>
      </c>
      <c r="V52" s="286"/>
      <c r="W52" s="211"/>
      <c r="X52" s="217"/>
      <c r="Y52" s="286"/>
      <c r="Z52" s="211"/>
      <c r="AA52" s="218"/>
      <c r="AB52" s="203"/>
      <c r="AC52" s="204"/>
      <c r="AD52" s="206"/>
      <c r="AE52" s="205"/>
      <c r="AF52" s="204"/>
      <c r="AG52" s="206"/>
      <c r="AH52" s="205"/>
      <c r="AI52" s="204"/>
      <c r="AJ52" s="204"/>
      <c r="AK52" s="207"/>
      <c r="AL52" s="208"/>
      <c r="AM52" s="214"/>
      <c r="AN52" s="270"/>
      <c r="AO52" s="261"/>
      <c r="AP52" s="199"/>
      <c r="AQ52" s="262"/>
      <c r="AR52" s="340"/>
    </row>
    <row r="53" spans="1:44" s="19" customFormat="1" ht="15.75" x14ac:dyDescent="0.25">
      <c r="A53" s="238"/>
      <c r="B53" s="212"/>
      <c r="C53" s="212"/>
      <c r="D53" s="213"/>
      <c r="E53" s="213"/>
      <c r="F53" s="213"/>
      <c r="G53" s="213"/>
      <c r="H53" s="213"/>
      <c r="I53" s="213"/>
      <c r="J53" s="213"/>
      <c r="K53" s="213"/>
      <c r="L53" s="213"/>
      <c r="M53" s="213"/>
      <c r="N53" s="213"/>
      <c r="O53" s="213"/>
      <c r="P53" s="200">
        <f t="shared" si="1"/>
        <v>0</v>
      </c>
      <c r="Q53" s="201">
        <f t="shared" si="2"/>
        <v>0</v>
      </c>
      <c r="R53" s="202">
        <f t="shared" si="3"/>
        <v>0</v>
      </c>
      <c r="S53" s="202">
        <f t="shared" si="4"/>
        <v>0</v>
      </c>
      <c r="T53" s="202">
        <f t="shared" si="5"/>
        <v>0</v>
      </c>
      <c r="U53" s="203">
        <f t="shared" si="6"/>
        <v>0</v>
      </c>
      <c r="V53" s="286"/>
      <c r="W53" s="211"/>
      <c r="X53" s="217"/>
      <c r="Y53" s="286"/>
      <c r="Z53" s="211"/>
      <c r="AA53" s="218"/>
      <c r="AB53" s="203"/>
      <c r="AC53" s="204"/>
      <c r="AD53" s="206"/>
      <c r="AE53" s="205"/>
      <c r="AF53" s="204"/>
      <c r="AG53" s="206"/>
      <c r="AH53" s="205"/>
      <c r="AI53" s="204"/>
      <c r="AJ53" s="204"/>
      <c r="AK53" s="207"/>
      <c r="AL53" s="208"/>
      <c r="AM53" s="214"/>
      <c r="AN53" s="270"/>
      <c r="AO53" s="261"/>
      <c r="AP53" s="199"/>
      <c r="AQ53" s="262"/>
      <c r="AR53" s="340"/>
    </row>
    <row r="54" spans="1:44" s="32" customFormat="1" ht="15.75" x14ac:dyDescent="0.25">
      <c r="A54" s="238"/>
      <c r="B54" s="212"/>
      <c r="C54" s="212"/>
      <c r="D54" s="213"/>
      <c r="E54" s="213"/>
      <c r="F54" s="213"/>
      <c r="G54" s="213"/>
      <c r="H54" s="213"/>
      <c r="I54" s="213"/>
      <c r="J54" s="213"/>
      <c r="K54" s="213"/>
      <c r="L54" s="213"/>
      <c r="M54" s="213"/>
      <c r="N54" s="213"/>
      <c r="O54" s="213"/>
      <c r="P54" s="200">
        <f t="shared" si="1"/>
        <v>0</v>
      </c>
      <c r="Q54" s="201">
        <f t="shared" si="2"/>
        <v>0</v>
      </c>
      <c r="R54" s="202">
        <f t="shared" si="3"/>
        <v>0</v>
      </c>
      <c r="S54" s="202">
        <f t="shared" si="4"/>
        <v>0</v>
      </c>
      <c r="T54" s="202">
        <f t="shared" si="5"/>
        <v>0</v>
      </c>
      <c r="U54" s="203">
        <f t="shared" si="6"/>
        <v>0</v>
      </c>
      <c r="V54" s="286"/>
      <c r="W54" s="211"/>
      <c r="X54" s="217"/>
      <c r="Y54" s="286"/>
      <c r="Z54" s="211"/>
      <c r="AA54" s="218"/>
      <c r="AB54" s="203"/>
      <c r="AC54" s="204"/>
      <c r="AD54" s="206"/>
      <c r="AE54" s="205"/>
      <c r="AF54" s="204"/>
      <c r="AG54" s="206"/>
      <c r="AH54" s="205"/>
      <c r="AI54" s="204"/>
      <c r="AJ54" s="204"/>
      <c r="AK54" s="207"/>
      <c r="AL54" s="208"/>
      <c r="AM54" s="214"/>
      <c r="AN54" s="270"/>
      <c r="AO54" s="261"/>
      <c r="AP54" s="199"/>
      <c r="AQ54" s="262"/>
      <c r="AR54" s="340"/>
    </row>
    <row r="55" spans="1:44" s="32" customFormat="1" ht="15.75" x14ac:dyDescent="0.25">
      <c r="A55" s="238"/>
      <c r="B55" s="212"/>
      <c r="C55" s="212"/>
      <c r="D55" s="213"/>
      <c r="E55" s="213"/>
      <c r="F55" s="213"/>
      <c r="G55" s="213"/>
      <c r="H55" s="213"/>
      <c r="I55" s="213"/>
      <c r="J55" s="213"/>
      <c r="K55" s="213"/>
      <c r="L55" s="213"/>
      <c r="M55" s="213"/>
      <c r="N55" s="213"/>
      <c r="O55" s="213"/>
      <c r="P55" s="200">
        <f t="shared" si="1"/>
        <v>0</v>
      </c>
      <c r="Q55" s="201">
        <f t="shared" si="2"/>
        <v>0</v>
      </c>
      <c r="R55" s="202">
        <f t="shared" si="3"/>
        <v>0</v>
      </c>
      <c r="S55" s="202">
        <f t="shared" si="4"/>
        <v>0</v>
      </c>
      <c r="T55" s="202">
        <f t="shared" si="5"/>
        <v>0</v>
      </c>
      <c r="U55" s="203">
        <f t="shared" si="6"/>
        <v>0</v>
      </c>
      <c r="V55" s="286"/>
      <c r="W55" s="211"/>
      <c r="X55" s="217"/>
      <c r="Y55" s="293"/>
      <c r="Z55" s="292"/>
      <c r="AA55" s="222"/>
      <c r="AB55" s="203"/>
      <c r="AC55" s="204"/>
      <c r="AD55" s="206"/>
      <c r="AE55" s="205"/>
      <c r="AF55" s="204"/>
      <c r="AG55" s="206"/>
      <c r="AH55" s="205"/>
      <c r="AI55" s="204"/>
      <c r="AJ55" s="204"/>
      <c r="AK55" s="207"/>
      <c r="AL55" s="208"/>
      <c r="AM55" s="214"/>
      <c r="AN55" s="270"/>
      <c r="AO55" s="261"/>
      <c r="AP55" s="199"/>
      <c r="AQ55" s="262"/>
      <c r="AR55" s="340"/>
    </row>
    <row r="56" spans="1:44" s="19" customFormat="1" ht="15.75" x14ac:dyDescent="0.25">
      <c r="A56" s="238"/>
      <c r="B56" s="212"/>
      <c r="C56" s="212"/>
      <c r="D56" s="213"/>
      <c r="E56" s="213"/>
      <c r="F56" s="213"/>
      <c r="G56" s="213"/>
      <c r="H56" s="213"/>
      <c r="I56" s="213"/>
      <c r="J56" s="213"/>
      <c r="K56" s="213"/>
      <c r="L56" s="213"/>
      <c r="M56" s="213"/>
      <c r="N56" s="213"/>
      <c r="O56" s="213"/>
      <c r="P56" s="200">
        <f t="shared" si="1"/>
        <v>0</v>
      </c>
      <c r="Q56" s="201">
        <f t="shared" si="2"/>
        <v>0</v>
      </c>
      <c r="R56" s="202">
        <f t="shared" si="3"/>
        <v>0</v>
      </c>
      <c r="S56" s="202">
        <f t="shared" si="4"/>
        <v>0</v>
      </c>
      <c r="T56" s="202">
        <f t="shared" si="5"/>
        <v>0</v>
      </c>
      <c r="U56" s="203">
        <f t="shared" si="6"/>
        <v>0</v>
      </c>
      <c r="V56" s="286"/>
      <c r="W56" s="211"/>
      <c r="X56" s="217"/>
      <c r="Y56" s="293"/>
      <c r="Z56" s="292"/>
      <c r="AA56" s="222"/>
      <c r="AB56" s="203"/>
      <c r="AC56" s="204"/>
      <c r="AD56" s="206"/>
      <c r="AE56" s="205"/>
      <c r="AF56" s="204"/>
      <c r="AG56" s="206"/>
      <c r="AH56" s="205"/>
      <c r="AI56" s="204"/>
      <c r="AJ56" s="204"/>
      <c r="AK56" s="207"/>
      <c r="AL56" s="208"/>
      <c r="AM56" s="214"/>
      <c r="AN56" s="270"/>
      <c r="AO56" s="261"/>
      <c r="AP56" s="199"/>
      <c r="AQ56" s="262"/>
      <c r="AR56" s="340"/>
    </row>
    <row r="57" spans="1:44" s="32" customFormat="1" ht="15.75" x14ac:dyDescent="0.25">
      <c r="A57" s="238"/>
      <c r="B57" s="212"/>
      <c r="C57" s="212"/>
      <c r="D57" s="213"/>
      <c r="E57" s="213"/>
      <c r="F57" s="213"/>
      <c r="G57" s="213"/>
      <c r="H57" s="213"/>
      <c r="I57" s="213"/>
      <c r="J57" s="213"/>
      <c r="K57" s="213"/>
      <c r="L57" s="213"/>
      <c r="M57" s="213"/>
      <c r="N57" s="213"/>
      <c r="O57" s="213"/>
      <c r="P57" s="200">
        <f t="shared" si="1"/>
        <v>0</v>
      </c>
      <c r="Q57" s="201">
        <f t="shared" si="2"/>
        <v>0</v>
      </c>
      <c r="R57" s="202">
        <f t="shared" si="3"/>
        <v>0</v>
      </c>
      <c r="S57" s="202">
        <f t="shared" si="4"/>
        <v>0</v>
      </c>
      <c r="T57" s="202">
        <f t="shared" si="5"/>
        <v>0</v>
      </c>
      <c r="U57" s="203">
        <f t="shared" si="6"/>
        <v>0</v>
      </c>
      <c r="V57" s="286"/>
      <c r="W57" s="211"/>
      <c r="X57" s="217"/>
      <c r="Y57" s="293"/>
      <c r="Z57" s="292"/>
      <c r="AA57" s="222"/>
      <c r="AB57" s="203"/>
      <c r="AC57" s="204"/>
      <c r="AD57" s="206"/>
      <c r="AE57" s="205"/>
      <c r="AF57" s="204"/>
      <c r="AG57" s="206"/>
      <c r="AH57" s="205"/>
      <c r="AI57" s="204"/>
      <c r="AJ57" s="204"/>
      <c r="AK57" s="214"/>
      <c r="AL57" s="208"/>
      <c r="AM57" s="214"/>
      <c r="AN57" s="270"/>
      <c r="AO57" s="261"/>
      <c r="AP57" s="199"/>
      <c r="AQ57" s="262"/>
      <c r="AR57" s="340"/>
    </row>
    <row r="58" spans="1:44" s="19" customFormat="1" ht="15.75" x14ac:dyDescent="0.25">
      <c r="A58" s="238"/>
      <c r="B58" s="212"/>
      <c r="C58" s="212"/>
      <c r="D58" s="213"/>
      <c r="E58" s="213"/>
      <c r="F58" s="213"/>
      <c r="G58" s="213"/>
      <c r="H58" s="213"/>
      <c r="I58" s="213"/>
      <c r="J58" s="213"/>
      <c r="K58" s="213"/>
      <c r="L58" s="213"/>
      <c r="M58" s="213"/>
      <c r="N58" s="213"/>
      <c r="O58" s="213"/>
      <c r="P58" s="200">
        <f t="shared" si="1"/>
        <v>0</v>
      </c>
      <c r="Q58" s="201">
        <f t="shared" si="2"/>
        <v>0</v>
      </c>
      <c r="R58" s="202">
        <f t="shared" si="3"/>
        <v>0</v>
      </c>
      <c r="S58" s="202">
        <f t="shared" si="4"/>
        <v>0</v>
      </c>
      <c r="T58" s="202">
        <f t="shared" si="5"/>
        <v>0</v>
      </c>
      <c r="U58" s="203">
        <f t="shared" si="6"/>
        <v>0</v>
      </c>
      <c r="V58" s="286"/>
      <c r="W58" s="211"/>
      <c r="X58" s="217"/>
      <c r="Y58" s="293"/>
      <c r="Z58" s="292"/>
      <c r="AA58" s="222"/>
      <c r="AB58" s="203"/>
      <c r="AC58" s="204"/>
      <c r="AD58" s="206"/>
      <c r="AE58" s="205"/>
      <c r="AF58" s="204"/>
      <c r="AG58" s="206"/>
      <c r="AH58" s="205"/>
      <c r="AI58" s="204"/>
      <c r="AJ58" s="204"/>
      <c r="AK58" s="214"/>
      <c r="AL58" s="208"/>
      <c r="AM58" s="214"/>
      <c r="AN58" s="270"/>
      <c r="AO58" s="261"/>
      <c r="AP58" s="199"/>
      <c r="AQ58" s="262"/>
      <c r="AR58" s="340"/>
    </row>
    <row r="59" spans="1:44" s="32" customFormat="1" ht="15.75" x14ac:dyDescent="0.25">
      <c r="A59" s="238"/>
      <c r="B59" s="212"/>
      <c r="C59" s="212"/>
      <c r="D59" s="213"/>
      <c r="E59" s="213"/>
      <c r="F59" s="213"/>
      <c r="G59" s="213"/>
      <c r="H59" s="213"/>
      <c r="I59" s="213"/>
      <c r="J59" s="213"/>
      <c r="K59" s="213"/>
      <c r="L59" s="213"/>
      <c r="M59" s="213"/>
      <c r="N59" s="213"/>
      <c r="O59" s="213"/>
      <c r="P59" s="200">
        <f t="shared" si="1"/>
        <v>0</v>
      </c>
      <c r="Q59" s="201">
        <f t="shared" si="2"/>
        <v>0</v>
      </c>
      <c r="R59" s="202">
        <f t="shared" si="3"/>
        <v>0</v>
      </c>
      <c r="S59" s="202">
        <f t="shared" si="4"/>
        <v>0</v>
      </c>
      <c r="T59" s="202">
        <f t="shared" si="5"/>
        <v>0</v>
      </c>
      <c r="U59" s="203">
        <f t="shared" si="6"/>
        <v>0</v>
      </c>
      <c r="V59" s="286"/>
      <c r="W59" s="211"/>
      <c r="X59" s="217"/>
      <c r="Y59" s="293"/>
      <c r="Z59" s="292"/>
      <c r="AA59" s="222"/>
      <c r="AB59" s="203"/>
      <c r="AC59" s="204"/>
      <c r="AD59" s="206"/>
      <c r="AE59" s="205"/>
      <c r="AF59" s="204"/>
      <c r="AG59" s="206"/>
      <c r="AH59" s="205"/>
      <c r="AI59" s="204"/>
      <c r="AJ59" s="204"/>
      <c r="AK59" s="207"/>
      <c r="AL59" s="208"/>
      <c r="AM59" s="214"/>
      <c r="AN59" s="270"/>
      <c r="AO59" s="261"/>
      <c r="AP59" s="199"/>
      <c r="AQ59" s="262"/>
      <c r="AR59" s="340"/>
    </row>
    <row r="60" spans="1:44" s="32" customFormat="1" ht="15.75" x14ac:dyDescent="0.25">
      <c r="A60" s="238"/>
      <c r="B60" s="212"/>
      <c r="C60" s="212"/>
      <c r="D60" s="213"/>
      <c r="E60" s="213"/>
      <c r="F60" s="213"/>
      <c r="G60" s="213"/>
      <c r="H60" s="213"/>
      <c r="I60" s="213"/>
      <c r="J60" s="213"/>
      <c r="K60" s="213"/>
      <c r="L60" s="213"/>
      <c r="M60" s="213"/>
      <c r="N60" s="213"/>
      <c r="O60" s="213"/>
      <c r="P60" s="200">
        <f t="shared" si="1"/>
        <v>0</v>
      </c>
      <c r="Q60" s="201">
        <f t="shared" si="2"/>
        <v>0</v>
      </c>
      <c r="R60" s="202">
        <f t="shared" si="3"/>
        <v>0</v>
      </c>
      <c r="S60" s="202">
        <f t="shared" si="4"/>
        <v>0</v>
      </c>
      <c r="T60" s="202">
        <f t="shared" si="5"/>
        <v>0</v>
      </c>
      <c r="U60" s="203">
        <f t="shared" si="6"/>
        <v>0</v>
      </c>
      <c r="V60" s="286"/>
      <c r="W60" s="211"/>
      <c r="X60" s="217"/>
      <c r="Y60" s="293"/>
      <c r="Z60" s="292"/>
      <c r="AA60" s="222"/>
      <c r="AB60" s="203"/>
      <c r="AC60" s="204"/>
      <c r="AD60" s="206"/>
      <c r="AE60" s="205"/>
      <c r="AF60" s="204"/>
      <c r="AG60" s="206"/>
      <c r="AH60" s="205"/>
      <c r="AI60" s="204"/>
      <c r="AJ60" s="204"/>
      <c r="AK60" s="207"/>
      <c r="AL60" s="208"/>
      <c r="AM60" s="214"/>
      <c r="AN60" s="270"/>
      <c r="AO60" s="261"/>
      <c r="AP60" s="199"/>
      <c r="AQ60" s="262"/>
      <c r="AR60" s="340"/>
    </row>
    <row r="61" spans="1:44" s="32" customFormat="1" ht="15.75" x14ac:dyDescent="0.25">
      <c r="A61" s="238"/>
      <c r="B61" s="212"/>
      <c r="C61" s="212"/>
      <c r="D61" s="213"/>
      <c r="E61" s="213"/>
      <c r="F61" s="213"/>
      <c r="G61" s="213"/>
      <c r="H61" s="213"/>
      <c r="I61" s="213"/>
      <c r="J61" s="213"/>
      <c r="K61" s="213"/>
      <c r="L61" s="213"/>
      <c r="M61" s="213"/>
      <c r="N61" s="213"/>
      <c r="O61" s="213"/>
      <c r="P61" s="200">
        <f t="shared" si="1"/>
        <v>0</v>
      </c>
      <c r="Q61" s="201">
        <f t="shared" si="2"/>
        <v>0</v>
      </c>
      <c r="R61" s="202">
        <f t="shared" si="3"/>
        <v>0</v>
      </c>
      <c r="S61" s="202">
        <f t="shared" si="4"/>
        <v>0</v>
      </c>
      <c r="T61" s="202">
        <f t="shared" si="5"/>
        <v>0</v>
      </c>
      <c r="U61" s="203">
        <f t="shared" si="6"/>
        <v>0</v>
      </c>
      <c r="V61" s="286"/>
      <c r="W61" s="211"/>
      <c r="X61" s="217"/>
      <c r="Y61" s="293"/>
      <c r="Z61" s="292"/>
      <c r="AA61" s="222"/>
      <c r="AB61" s="203"/>
      <c r="AC61" s="204"/>
      <c r="AD61" s="206"/>
      <c r="AE61" s="205"/>
      <c r="AF61" s="204"/>
      <c r="AG61" s="206"/>
      <c r="AH61" s="205"/>
      <c r="AI61" s="204"/>
      <c r="AJ61" s="204"/>
      <c r="AK61" s="207"/>
      <c r="AL61" s="208"/>
      <c r="AM61" s="214"/>
      <c r="AN61" s="270"/>
      <c r="AO61" s="261"/>
      <c r="AP61" s="199"/>
      <c r="AQ61" s="262"/>
      <c r="AR61" s="340"/>
    </row>
    <row r="62" spans="1:44" s="32" customFormat="1" ht="15.75" x14ac:dyDescent="0.25">
      <c r="A62" s="238"/>
      <c r="B62" s="212"/>
      <c r="C62" s="212"/>
      <c r="D62" s="213"/>
      <c r="E62" s="213"/>
      <c r="F62" s="213"/>
      <c r="G62" s="213"/>
      <c r="H62" s="213"/>
      <c r="I62" s="213"/>
      <c r="J62" s="213"/>
      <c r="K62" s="213"/>
      <c r="L62" s="213"/>
      <c r="M62" s="213"/>
      <c r="N62" s="213"/>
      <c r="O62" s="213"/>
      <c r="P62" s="200">
        <f t="shared" si="1"/>
        <v>0</v>
      </c>
      <c r="Q62" s="201">
        <f t="shared" si="2"/>
        <v>0</v>
      </c>
      <c r="R62" s="202">
        <f t="shared" si="3"/>
        <v>0</v>
      </c>
      <c r="S62" s="202">
        <f t="shared" si="4"/>
        <v>0</v>
      </c>
      <c r="T62" s="202">
        <f t="shared" si="5"/>
        <v>0</v>
      </c>
      <c r="U62" s="203">
        <f t="shared" si="6"/>
        <v>0</v>
      </c>
      <c r="V62" s="286"/>
      <c r="W62" s="211"/>
      <c r="X62" s="217"/>
      <c r="Y62" s="293"/>
      <c r="Z62" s="292"/>
      <c r="AA62" s="222"/>
      <c r="AB62" s="203"/>
      <c r="AC62" s="204"/>
      <c r="AD62" s="206"/>
      <c r="AE62" s="205"/>
      <c r="AF62" s="204"/>
      <c r="AG62" s="206"/>
      <c r="AH62" s="205"/>
      <c r="AI62" s="204"/>
      <c r="AJ62" s="204"/>
      <c r="AK62" s="207"/>
      <c r="AL62" s="208"/>
      <c r="AM62" s="214"/>
      <c r="AN62" s="270"/>
      <c r="AO62" s="261"/>
      <c r="AP62" s="199"/>
      <c r="AQ62" s="262"/>
      <c r="AR62" s="340"/>
    </row>
    <row r="63" spans="1:44" s="32" customFormat="1" ht="15.75" x14ac:dyDescent="0.25">
      <c r="A63" s="238"/>
      <c r="B63" s="212"/>
      <c r="C63" s="212"/>
      <c r="D63" s="213"/>
      <c r="E63" s="213"/>
      <c r="F63" s="213"/>
      <c r="G63" s="213"/>
      <c r="H63" s="213"/>
      <c r="I63" s="213"/>
      <c r="J63" s="213"/>
      <c r="K63" s="213"/>
      <c r="L63" s="213"/>
      <c r="M63" s="213"/>
      <c r="N63" s="213"/>
      <c r="O63" s="213"/>
      <c r="P63" s="200">
        <f t="shared" si="1"/>
        <v>0</v>
      </c>
      <c r="Q63" s="201">
        <f t="shared" si="2"/>
        <v>0</v>
      </c>
      <c r="R63" s="202">
        <f t="shared" si="3"/>
        <v>0</v>
      </c>
      <c r="S63" s="202">
        <f t="shared" si="4"/>
        <v>0</v>
      </c>
      <c r="T63" s="202">
        <f t="shared" si="5"/>
        <v>0</v>
      </c>
      <c r="U63" s="203">
        <f t="shared" si="6"/>
        <v>0</v>
      </c>
      <c r="V63" s="286"/>
      <c r="W63" s="211"/>
      <c r="X63" s="217"/>
      <c r="Y63" s="293"/>
      <c r="Z63" s="292"/>
      <c r="AA63" s="222"/>
      <c r="AB63" s="203"/>
      <c r="AC63" s="204"/>
      <c r="AD63" s="206"/>
      <c r="AE63" s="205"/>
      <c r="AF63" s="204"/>
      <c r="AG63" s="206"/>
      <c r="AH63" s="205"/>
      <c r="AI63" s="204"/>
      <c r="AJ63" s="206"/>
      <c r="AK63" s="207"/>
      <c r="AL63" s="208"/>
      <c r="AM63" s="214"/>
      <c r="AN63" s="270"/>
      <c r="AO63" s="261"/>
      <c r="AP63" s="199"/>
      <c r="AQ63" s="262"/>
      <c r="AR63" s="340"/>
    </row>
    <row r="64" spans="1:44" s="19" customFormat="1" ht="15.75" x14ac:dyDescent="0.25">
      <c r="A64" s="238"/>
      <c r="B64" s="212"/>
      <c r="C64" s="212"/>
      <c r="D64" s="213"/>
      <c r="E64" s="213"/>
      <c r="F64" s="213"/>
      <c r="G64" s="213"/>
      <c r="H64" s="213"/>
      <c r="I64" s="213"/>
      <c r="J64" s="213"/>
      <c r="K64" s="213"/>
      <c r="L64" s="213"/>
      <c r="M64" s="213"/>
      <c r="N64" s="213"/>
      <c r="O64" s="213"/>
      <c r="P64" s="200">
        <f t="shared" si="1"/>
        <v>0</v>
      </c>
      <c r="Q64" s="201">
        <f t="shared" si="2"/>
        <v>0</v>
      </c>
      <c r="R64" s="202">
        <f t="shared" si="3"/>
        <v>0</v>
      </c>
      <c r="S64" s="202">
        <f t="shared" si="4"/>
        <v>0</v>
      </c>
      <c r="T64" s="202">
        <f t="shared" si="5"/>
        <v>0</v>
      </c>
      <c r="U64" s="203">
        <f t="shared" si="6"/>
        <v>0</v>
      </c>
      <c r="V64" s="286"/>
      <c r="W64" s="211"/>
      <c r="X64" s="217"/>
      <c r="Y64" s="293"/>
      <c r="Z64" s="292"/>
      <c r="AA64" s="222"/>
      <c r="AB64" s="203"/>
      <c r="AC64" s="204"/>
      <c r="AD64" s="206"/>
      <c r="AE64" s="205"/>
      <c r="AF64" s="204"/>
      <c r="AG64" s="206"/>
      <c r="AH64" s="205"/>
      <c r="AI64" s="204"/>
      <c r="AJ64" s="204"/>
      <c r="AK64" s="207"/>
      <c r="AL64" s="208"/>
      <c r="AM64" s="214"/>
      <c r="AN64" s="270"/>
      <c r="AO64" s="261"/>
      <c r="AP64" s="199"/>
      <c r="AQ64" s="262"/>
      <c r="AR64" s="340"/>
    </row>
    <row r="65" spans="1:44" s="19" customFormat="1" ht="15.75" x14ac:dyDescent="0.25">
      <c r="A65" s="238"/>
      <c r="B65" s="212"/>
      <c r="C65" s="212"/>
      <c r="D65" s="213"/>
      <c r="E65" s="213"/>
      <c r="F65" s="213"/>
      <c r="G65" s="213"/>
      <c r="H65" s="213"/>
      <c r="I65" s="213"/>
      <c r="J65" s="213"/>
      <c r="K65" s="213"/>
      <c r="L65" s="213"/>
      <c r="M65" s="213"/>
      <c r="N65" s="213"/>
      <c r="O65" s="213"/>
      <c r="P65" s="200">
        <f t="shared" si="1"/>
        <v>0</v>
      </c>
      <c r="Q65" s="201">
        <f t="shared" si="2"/>
        <v>0</v>
      </c>
      <c r="R65" s="202">
        <f t="shared" si="3"/>
        <v>0</v>
      </c>
      <c r="S65" s="202">
        <f t="shared" si="4"/>
        <v>0</v>
      </c>
      <c r="T65" s="202">
        <f t="shared" si="5"/>
        <v>0</v>
      </c>
      <c r="U65" s="203">
        <f t="shared" si="6"/>
        <v>0</v>
      </c>
      <c r="V65" s="286"/>
      <c r="W65" s="211"/>
      <c r="X65" s="217"/>
      <c r="Y65" s="293"/>
      <c r="Z65" s="292"/>
      <c r="AA65" s="222"/>
      <c r="AB65" s="203"/>
      <c r="AC65" s="204"/>
      <c r="AD65" s="206"/>
      <c r="AE65" s="205"/>
      <c r="AF65" s="204"/>
      <c r="AG65" s="206"/>
      <c r="AH65" s="205"/>
      <c r="AI65" s="204"/>
      <c r="AJ65" s="204"/>
      <c r="AK65" s="207"/>
      <c r="AL65" s="208"/>
      <c r="AM65" s="214"/>
      <c r="AN65" s="270"/>
      <c r="AO65" s="261"/>
      <c r="AP65" s="199"/>
      <c r="AQ65" s="262"/>
      <c r="AR65" s="340"/>
    </row>
    <row r="66" spans="1:44" s="19" customFormat="1" ht="15.75" x14ac:dyDescent="0.25">
      <c r="A66" s="238"/>
      <c r="B66" s="212"/>
      <c r="C66" s="212"/>
      <c r="D66" s="213"/>
      <c r="E66" s="213"/>
      <c r="F66" s="213"/>
      <c r="G66" s="213"/>
      <c r="H66" s="213"/>
      <c r="I66" s="213"/>
      <c r="J66" s="213"/>
      <c r="K66" s="213"/>
      <c r="L66" s="213"/>
      <c r="M66" s="213"/>
      <c r="N66" s="213"/>
      <c r="O66" s="213"/>
      <c r="P66" s="200">
        <f t="shared" si="1"/>
        <v>0</v>
      </c>
      <c r="Q66" s="201">
        <f t="shared" si="2"/>
        <v>0</v>
      </c>
      <c r="R66" s="202">
        <f t="shared" si="3"/>
        <v>0</v>
      </c>
      <c r="S66" s="202">
        <f t="shared" si="4"/>
        <v>0</v>
      </c>
      <c r="T66" s="202">
        <f t="shared" si="5"/>
        <v>0</v>
      </c>
      <c r="U66" s="203">
        <f t="shared" si="6"/>
        <v>0</v>
      </c>
      <c r="V66" s="286"/>
      <c r="W66" s="211"/>
      <c r="X66" s="217"/>
      <c r="Y66" s="293"/>
      <c r="Z66" s="292"/>
      <c r="AA66" s="222"/>
      <c r="AB66" s="203"/>
      <c r="AC66" s="204"/>
      <c r="AD66" s="206"/>
      <c r="AE66" s="205"/>
      <c r="AF66" s="204"/>
      <c r="AG66" s="206"/>
      <c r="AH66" s="205"/>
      <c r="AI66" s="204"/>
      <c r="AJ66" s="204"/>
      <c r="AK66" s="207"/>
      <c r="AL66" s="208"/>
      <c r="AM66" s="268"/>
      <c r="AN66" s="270"/>
      <c r="AO66" s="261"/>
      <c r="AP66" s="199"/>
      <c r="AQ66" s="262"/>
      <c r="AR66" s="340"/>
    </row>
    <row r="67" spans="1:44" s="19" customFormat="1" ht="15.75" x14ac:dyDescent="0.25">
      <c r="A67" s="238"/>
      <c r="B67" s="212"/>
      <c r="C67" s="212"/>
      <c r="D67" s="213"/>
      <c r="E67" s="213"/>
      <c r="F67" s="213"/>
      <c r="G67" s="213"/>
      <c r="H67" s="213"/>
      <c r="I67" s="213"/>
      <c r="J67" s="212"/>
      <c r="K67" s="213"/>
      <c r="L67" s="213"/>
      <c r="M67" s="213"/>
      <c r="N67" s="213"/>
      <c r="O67" s="213"/>
      <c r="P67" s="200">
        <f t="shared" ref="P67:P94" si="7">SUM(Q67:U67)</f>
        <v>0</v>
      </c>
      <c r="Q67" s="201">
        <f t="shared" si="2"/>
        <v>0</v>
      </c>
      <c r="R67" s="202">
        <f t="shared" ref="R67:R94" si="8">SUM(Y67:AA67)</f>
        <v>0</v>
      </c>
      <c r="S67" s="202">
        <f t="shared" ref="S67:S94" si="9">SUM(AB67:AD67)</f>
        <v>0</v>
      </c>
      <c r="T67" s="202">
        <f t="shared" ref="T67:T94" si="10">SUM(AE67:AG67)</f>
        <v>0</v>
      </c>
      <c r="U67" s="203">
        <f t="shared" ref="U67:U94" si="11">SUM(AH67:AJ67)</f>
        <v>0</v>
      </c>
      <c r="V67" s="286"/>
      <c r="W67" s="211"/>
      <c r="X67" s="217"/>
      <c r="Y67" s="293"/>
      <c r="Z67" s="292"/>
      <c r="AA67" s="222"/>
      <c r="AB67" s="203"/>
      <c r="AC67" s="204"/>
      <c r="AD67" s="206"/>
      <c r="AE67" s="205"/>
      <c r="AF67" s="204"/>
      <c r="AG67" s="206"/>
      <c r="AH67" s="205"/>
      <c r="AI67" s="204"/>
      <c r="AJ67" s="204"/>
      <c r="AK67" s="207"/>
      <c r="AL67" s="208"/>
      <c r="AM67" s="268"/>
      <c r="AN67" s="270"/>
      <c r="AO67" s="261"/>
      <c r="AP67" s="199"/>
      <c r="AQ67" s="262"/>
      <c r="AR67" s="340"/>
    </row>
    <row r="68" spans="1:44" s="19" customFormat="1" ht="15.75" x14ac:dyDescent="0.25">
      <c r="A68" s="238"/>
      <c r="B68" s="212"/>
      <c r="C68" s="212"/>
      <c r="D68" s="213"/>
      <c r="E68" s="213"/>
      <c r="F68" s="213"/>
      <c r="G68" s="213"/>
      <c r="H68" s="215"/>
      <c r="I68" s="215"/>
      <c r="J68" s="216"/>
      <c r="K68" s="215"/>
      <c r="L68" s="215"/>
      <c r="M68" s="215"/>
      <c r="N68" s="215"/>
      <c r="O68" s="215"/>
      <c r="P68" s="200">
        <f t="shared" si="7"/>
        <v>0</v>
      </c>
      <c r="Q68" s="201">
        <f t="shared" si="2"/>
        <v>0</v>
      </c>
      <c r="R68" s="202">
        <f t="shared" si="8"/>
        <v>0</v>
      </c>
      <c r="S68" s="202">
        <f t="shared" si="9"/>
        <v>0</v>
      </c>
      <c r="T68" s="202">
        <f t="shared" si="10"/>
        <v>0</v>
      </c>
      <c r="U68" s="203">
        <f t="shared" si="11"/>
        <v>0</v>
      </c>
      <c r="V68" s="286"/>
      <c r="W68" s="211"/>
      <c r="X68" s="217"/>
      <c r="Y68" s="293"/>
      <c r="Z68" s="292"/>
      <c r="AA68" s="222"/>
      <c r="AB68" s="219"/>
      <c r="AC68" s="220"/>
      <c r="AD68" s="222"/>
      <c r="AE68" s="221"/>
      <c r="AF68" s="220"/>
      <c r="AG68" s="222"/>
      <c r="AH68" s="221"/>
      <c r="AI68" s="220"/>
      <c r="AJ68" s="220"/>
      <c r="AK68" s="223"/>
      <c r="AL68" s="208"/>
      <c r="AM68" s="268"/>
      <c r="AN68" s="270"/>
      <c r="AO68" s="261"/>
      <c r="AP68" s="199"/>
      <c r="AQ68" s="262"/>
      <c r="AR68" s="340"/>
    </row>
    <row r="69" spans="1:44" s="19" customFormat="1" ht="15.75" x14ac:dyDescent="0.25">
      <c r="A69" s="238"/>
      <c r="B69" s="212"/>
      <c r="C69" s="212"/>
      <c r="D69" s="213"/>
      <c r="E69" s="213"/>
      <c r="F69" s="213"/>
      <c r="G69" s="213"/>
      <c r="H69" s="215"/>
      <c r="I69" s="215"/>
      <c r="J69" s="216"/>
      <c r="K69" s="215"/>
      <c r="L69" s="215"/>
      <c r="M69" s="215"/>
      <c r="N69" s="215"/>
      <c r="O69" s="215"/>
      <c r="P69" s="200">
        <f t="shared" si="7"/>
        <v>0</v>
      </c>
      <c r="Q69" s="201">
        <f t="shared" si="2"/>
        <v>0</v>
      </c>
      <c r="R69" s="202">
        <f t="shared" si="8"/>
        <v>0</v>
      </c>
      <c r="S69" s="202">
        <f t="shared" si="9"/>
        <v>0</v>
      </c>
      <c r="T69" s="202">
        <f t="shared" si="10"/>
        <v>0</v>
      </c>
      <c r="U69" s="203">
        <f t="shared" si="11"/>
        <v>0</v>
      </c>
      <c r="V69" s="286"/>
      <c r="W69" s="211"/>
      <c r="X69" s="217"/>
      <c r="Y69" s="293"/>
      <c r="Z69" s="292"/>
      <c r="AA69" s="222"/>
      <c r="AB69" s="219"/>
      <c r="AC69" s="220"/>
      <c r="AD69" s="222"/>
      <c r="AE69" s="221"/>
      <c r="AF69" s="220"/>
      <c r="AG69" s="222"/>
      <c r="AH69" s="221"/>
      <c r="AI69" s="220"/>
      <c r="AJ69" s="220"/>
      <c r="AK69" s="223"/>
      <c r="AL69" s="208"/>
      <c r="AM69" s="268"/>
      <c r="AN69" s="270"/>
      <c r="AO69" s="261"/>
      <c r="AP69" s="199"/>
      <c r="AQ69" s="262"/>
      <c r="AR69" s="340"/>
    </row>
    <row r="70" spans="1:44" s="32" customFormat="1" ht="15.75" x14ac:dyDescent="0.25">
      <c r="A70" s="238"/>
      <c r="B70" s="212"/>
      <c r="C70" s="212"/>
      <c r="D70" s="213"/>
      <c r="E70" s="213"/>
      <c r="F70" s="213"/>
      <c r="G70" s="213"/>
      <c r="H70" s="213"/>
      <c r="I70" s="213"/>
      <c r="J70" s="237"/>
      <c r="K70" s="213"/>
      <c r="L70" s="213"/>
      <c r="M70" s="213"/>
      <c r="N70" s="213"/>
      <c r="O70" s="213"/>
      <c r="P70" s="200">
        <f t="shared" si="7"/>
        <v>0</v>
      </c>
      <c r="Q70" s="201">
        <f t="shared" si="2"/>
        <v>0</v>
      </c>
      <c r="R70" s="202">
        <f t="shared" si="8"/>
        <v>0</v>
      </c>
      <c r="S70" s="202">
        <f t="shared" si="9"/>
        <v>0</v>
      </c>
      <c r="T70" s="202">
        <f t="shared" si="10"/>
        <v>0</v>
      </c>
      <c r="U70" s="203">
        <f t="shared" si="11"/>
        <v>0</v>
      </c>
      <c r="V70" s="286"/>
      <c r="W70" s="211"/>
      <c r="X70" s="217"/>
      <c r="Y70" s="293"/>
      <c r="Z70" s="292"/>
      <c r="AA70" s="222"/>
      <c r="AB70" s="203"/>
      <c r="AC70" s="204"/>
      <c r="AD70" s="206"/>
      <c r="AE70" s="205"/>
      <c r="AF70" s="204"/>
      <c r="AG70" s="206"/>
      <c r="AH70" s="205"/>
      <c r="AI70" s="204"/>
      <c r="AJ70" s="204"/>
      <c r="AK70" s="207"/>
      <c r="AL70" s="208"/>
      <c r="AM70" s="214"/>
      <c r="AN70" s="270"/>
      <c r="AO70" s="261"/>
      <c r="AP70" s="199"/>
      <c r="AQ70" s="262"/>
      <c r="AR70" s="340"/>
    </row>
    <row r="71" spans="1:44" s="32" customFormat="1" ht="15.75" x14ac:dyDescent="0.25">
      <c r="A71" s="238"/>
      <c r="B71" s="212"/>
      <c r="C71" s="212"/>
      <c r="D71" s="213"/>
      <c r="E71" s="213"/>
      <c r="F71" s="213"/>
      <c r="G71" s="213"/>
      <c r="H71" s="213"/>
      <c r="I71" s="213"/>
      <c r="J71" s="213"/>
      <c r="K71" s="213"/>
      <c r="L71" s="213"/>
      <c r="M71" s="213"/>
      <c r="N71" s="213"/>
      <c r="O71" s="213"/>
      <c r="P71" s="200">
        <f t="shared" si="7"/>
        <v>0</v>
      </c>
      <c r="Q71" s="201">
        <f t="shared" si="2"/>
        <v>0</v>
      </c>
      <c r="R71" s="202">
        <f t="shared" si="8"/>
        <v>0</v>
      </c>
      <c r="S71" s="202">
        <f t="shared" si="9"/>
        <v>0</v>
      </c>
      <c r="T71" s="202">
        <f t="shared" si="10"/>
        <v>0</v>
      </c>
      <c r="U71" s="203">
        <f t="shared" si="11"/>
        <v>0</v>
      </c>
      <c r="V71" s="286"/>
      <c r="W71" s="211"/>
      <c r="X71" s="217"/>
      <c r="Y71" s="293"/>
      <c r="Z71" s="292"/>
      <c r="AA71" s="222"/>
      <c r="AB71" s="203"/>
      <c r="AC71" s="204"/>
      <c r="AD71" s="206"/>
      <c r="AE71" s="205"/>
      <c r="AF71" s="204"/>
      <c r="AG71" s="206"/>
      <c r="AH71" s="205"/>
      <c r="AI71" s="204"/>
      <c r="AJ71" s="206"/>
      <c r="AK71" s="207"/>
      <c r="AL71" s="208"/>
      <c r="AM71" s="214"/>
      <c r="AN71" s="270"/>
      <c r="AO71" s="261"/>
      <c r="AP71" s="199"/>
      <c r="AQ71" s="262"/>
      <c r="AR71" s="340"/>
    </row>
    <row r="72" spans="1:44" s="19" customFormat="1" ht="15.75" x14ac:dyDescent="0.25">
      <c r="A72" s="238"/>
      <c r="B72" s="212"/>
      <c r="C72" s="212"/>
      <c r="D72" s="213"/>
      <c r="E72" s="213"/>
      <c r="F72" s="215"/>
      <c r="G72" s="215"/>
      <c r="H72" s="215"/>
      <c r="I72" s="216"/>
      <c r="J72" s="216"/>
      <c r="K72" s="216"/>
      <c r="L72" s="215"/>
      <c r="M72" s="215"/>
      <c r="N72" s="215"/>
      <c r="O72" s="213"/>
      <c r="P72" s="200">
        <f t="shared" si="7"/>
        <v>0</v>
      </c>
      <c r="Q72" s="201">
        <f t="shared" si="2"/>
        <v>0</v>
      </c>
      <c r="R72" s="202">
        <f t="shared" si="8"/>
        <v>0</v>
      </c>
      <c r="S72" s="202">
        <f t="shared" si="9"/>
        <v>0</v>
      </c>
      <c r="T72" s="202">
        <f t="shared" si="10"/>
        <v>0</v>
      </c>
      <c r="U72" s="203">
        <f t="shared" si="11"/>
        <v>0</v>
      </c>
      <c r="V72" s="286"/>
      <c r="W72" s="211"/>
      <c r="X72" s="217"/>
      <c r="Y72" s="293"/>
      <c r="Z72" s="292"/>
      <c r="AA72" s="222"/>
      <c r="AB72" s="288"/>
      <c r="AC72" s="225"/>
      <c r="AD72" s="226"/>
      <c r="AE72" s="224"/>
      <c r="AF72" s="225"/>
      <c r="AG72" s="226"/>
      <c r="AH72" s="224"/>
      <c r="AI72" s="225"/>
      <c r="AJ72" s="226"/>
      <c r="AK72" s="223"/>
      <c r="AL72" s="208"/>
      <c r="AM72" s="268"/>
      <c r="AN72" s="270"/>
      <c r="AO72" s="261"/>
      <c r="AP72" s="199"/>
      <c r="AQ72" s="262"/>
      <c r="AR72" s="340"/>
    </row>
    <row r="73" spans="1:44" s="19" customFormat="1" ht="15.75" x14ac:dyDescent="0.25">
      <c r="A73" s="238"/>
      <c r="B73" s="212"/>
      <c r="C73" s="212"/>
      <c r="D73" s="213"/>
      <c r="E73" s="213"/>
      <c r="F73" s="215"/>
      <c r="G73" s="215"/>
      <c r="H73" s="215"/>
      <c r="I73" s="216"/>
      <c r="J73" s="216"/>
      <c r="K73" s="216"/>
      <c r="L73" s="215"/>
      <c r="M73" s="215"/>
      <c r="N73" s="215"/>
      <c r="O73" s="213"/>
      <c r="P73" s="200">
        <f t="shared" si="7"/>
        <v>0</v>
      </c>
      <c r="Q73" s="201">
        <f t="shared" si="2"/>
        <v>0</v>
      </c>
      <c r="R73" s="202">
        <f t="shared" si="8"/>
        <v>0</v>
      </c>
      <c r="S73" s="202">
        <f t="shared" si="9"/>
        <v>0</v>
      </c>
      <c r="T73" s="202">
        <f t="shared" si="10"/>
        <v>0</v>
      </c>
      <c r="U73" s="203">
        <f t="shared" si="11"/>
        <v>0</v>
      </c>
      <c r="V73" s="286"/>
      <c r="W73" s="211"/>
      <c r="X73" s="217"/>
      <c r="Y73" s="293"/>
      <c r="Z73" s="292"/>
      <c r="AA73" s="222"/>
      <c r="AB73" s="219"/>
      <c r="AC73" s="220"/>
      <c r="AD73" s="222"/>
      <c r="AE73" s="219"/>
      <c r="AF73" s="220"/>
      <c r="AG73" s="222"/>
      <c r="AH73" s="219"/>
      <c r="AI73" s="220"/>
      <c r="AJ73" s="222"/>
      <c r="AK73" s="223"/>
      <c r="AL73" s="208"/>
      <c r="AM73" s="268"/>
      <c r="AN73" s="270"/>
      <c r="AO73" s="261"/>
      <c r="AP73" s="199"/>
      <c r="AQ73" s="262"/>
      <c r="AR73" s="340"/>
    </row>
    <row r="74" spans="1:44" s="19" customFormat="1" ht="15.75" x14ac:dyDescent="0.25">
      <c r="A74" s="238"/>
      <c r="B74" s="212"/>
      <c r="C74" s="212"/>
      <c r="D74" s="213"/>
      <c r="E74" s="213"/>
      <c r="F74" s="215"/>
      <c r="G74" s="215"/>
      <c r="H74" s="215"/>
      <c r="I74" s="216"/>
      <c r="J74" s="216"/>
      <c r="K74" s="216"/>
      <c r="L74" s="215"/>
      <c r="M74" s="215"/>
      <c r="N74" s="215"/>
      <c r="O74" s="213"/>
      <c r="P74" s="200">
        <f t="shared" si="7"/>
        <v>0</v>
      </c>
      <c r="Q74" s="201">
        <f t="shared" si="2"/>
        <v>0</v>
      </c>
      <c r="R74" s="202">
        <f t="shared" si="8"/>
        <v>0</v>
      </c>
      <c r="S74" s="202">
        <f t="shared" si="9"/>
        <v>0</v>
      </c>
      <c r="T74" s="202">
        <f t="shared" si="10"/>
        <v>0</v>
      </c>
      <c r="U74" s="203">
        <f t="shared" si="11"/>
        <v>0</v>
      </c>
      <c r="V74" s="286"/>
      <c r="W74" s="211"/>
      <c r="X74" s="217"/>
      <c r="Y74" s="293"/>
      <c r="Z74" s="292"/>
      <c r="AA74" s="222"/>
      <c r="AB74" s="219"/>
      <c r="AC74" s="220"/>
      <c r="AD74" s="222"/>
      <c r="AE74" s="219"/>
      <c r="AF74" s="220"/>
      <c r="AG74" s="222"/>
      <c r="AH74" s="219"/>
      <c r="AI74" s="220"/>
      <c r="AJ74" s="222"/>
      <c r="AK74" s="223"/>
      <c r="AL74" s="208"/>
      <c r="AM74" s="268"/>
      <c r="AN74" s="270"/>
      <c r="AO74" s="261"/>
      <c r="AP74" s="199"/>
      <c r="AQ74" s="262"/>
      <c r="AR74" s="340"/>
    </row>
    <row r="75" spans="1:44" s="19" customFormat="1" ht="15.75" x14ac:dyDescent="0.25">
      <c r="A75" s="238"/>
      <c r="B75" s="212"/>
      <c r="C75" s="212"/>
      <c r="D75" s="213"/>
      <c r="E75" s="213"/>
      <c r="F75" s="215"/>
      <c r="G75" s="215"/>
      <c r="H75" s="215"/>
      <c r="I75" s="216"/>
      <c r="J75" s="216"/>
      <c r="K75" s="216"/>
      <c r="L75" s="215"/>
      <c r="M75" s="215"/>
      <c r="N75" s="215"/>
      <c r="O75" s="213"/>
      <c r="P75" s="200">
        <f t="shared" si="7"/>
        <v>0</v>
      </c>
      <c r="Q75" s="201">
        <f t="shared" si="2"/>
        <v>0</v>
      </c>
      <c r="R75" s="202">
        <f t="shared" si="8"/>
        <v>0</v>
      </c>
      <c r="S75" s="202">
        <f t="shared" si="9"/>
        <v>0</v>
      </c>
      <c r="T75" s="202">
        <f t="shared" si="10"/>
        <v>0</v>
      </c>
      <c r="U75" s="203">
        <f t="shared" si="11"/>
        <v>0</v>
      </c>
      <c r="V75" s="286"/>
      <c r="W75" s="211"/>
      <c r="X75" s="217"/>
      <c r="Y75" s="293"/>
      <c r="Z75" s="292"/>
      <c r="AA75" s="222"/>
      <c r="AB75" s="219"/>
      <c r="AC75" s="220"/>
      <c r="AD75" s="222"/>
      <c r="AE75" s="219"/>
      <c r="AF75" s="220"/>
      <c r="AG75" s="222"/>
      <c r="AH75" s="219"/>
      <c r="AI75" s="220"/>
      <c r="AJ75" s="222"/>
      <c r="AK75" s="223"/>
      <c r="AL75" s="208"/>
      <c r="AM75" s="268"/>
      <c r="AN75" s="270"/>
      <c r="AO75" s="261"/>
      <c r="AP75" s="199"/>
      <c r="AQ75" s="262"/>
      <c r="AR75" s="340"/>
    </row>
    <row r="76" spans="1:44" s="19" customFormat="1" ht="15.75" x14ac:dyDescent="0.25">
      <c r="A76" s="238"/>
      <c r="B76" s="212"/>
      <c r="C76" s="212"/>
      <c r="D76" s="213"/>
      <c r="E76" s="213"/>
      <c r="F76" s="215"/>
      <c r="G76" s="215"/>
      <c r="H76" s="215"/>
      <c r="I76" s="216"/>
      <c r="J76" s="216"/>
      <c r="K76" s="216"/>
      <c r="L76" s="215"/>
      <c r="M76" s="215"/>
      <c r="N76" s="215"/>
      <c r="O76" s="213"/>
      <c r="P76" s="200">
        <f t="shared" si="7"/>
        <v>0</v>
      </c>
      <c r="Q76" s="201">
        <f t="shared" si="2"/>
        <v>0</v>
      </c>
      <c r="R76" s="202">
        <f t="shared" si="8"/>
        <v>0</v>
      </c>
      <c r="S76" s="202">
        <f t="shared" si="9"/>
        <v>0</v>
      </c>
      <c r="T76" s="202">
        <f t="shared" si="10"/>
        <v>0</v>
      </c>
      <c r="U76" s="203">
        <f t="shared" si="11"/>
        <v>0</v>
      </c>
      <c r="V76" s="286"/>
      <c r="W76" s="211"/>
      <c r="X76" s="217"/>
      <c r="Y76" s="293"/>
      <c r="Z76" s="292"/>
      <c r="AA76" s="222"/>
      <c r="AB76" s="219"/>
      <c r="AC76" s="220"/>
      <c r="AD76" s="222"/>
      <c r="AE76" s="219"/>
      <c r="AF76" s="220"/>
      <c r="AG76" s="222"/>
      <c r="AH76" s="219"/>
      <c r="AI76" s="220"/>
      <c r="AJ76" s="222"/>
      <c r="AK76" s="223"/>
      <c r="AL76" s="208"/>
      <c r="AM76" s="268"/>
      <c r="AN76" s="270"/>
      <c r="AO76" s="261"/>
      <c r="AP76" s="199"/>
      <c r="AQ76" s="262"/>
      <c r="AR76" s="340"/>
    </row>
    <row r="77" spans="1:44" s="19" customFormat="1" ht="15.75" x14ac:dyDescent="0.25">
      <c r="A77" s="238"/>
      <c r="B77" s="212"/>
      <c r="C77" s="212"/>
      <c r="D77" s="213"/>
      <c r="E77" s="213"/>
      <c r="F77" s="215"/>
      <c r="G77" s="215"/>
      <c r="H77" s="215"/>
      <c r="I77" s="216"/>
      <c r="J77" s="216"/>
      <c r="K77" s="216"/>
      <c r="L77" s="215"/>
      <c r="M77" s="215"/>
      <c r="N77" s="215"/>
      <c r="O77" s="213"/>
      <c r="P77" s="200">
        <f t="shared" si="7"/>
        <v>0</v>
      </c>
      <c r="Q77" s="201">
        <f t="shared" si="2"/>
        <v>0</v>
      </c>
      <c r="R77" s="202">
        <f t="shared" si="8"/>
        <v>0</v>
      </c>
      <c r="S77" s="202">
        <f t="shared" si="9"/>
        <v>0</v>
      </c>
      <c r="T77" s="202">
        <f t="shared" si="10"/>
        <v>0</v>
      </c>
      <c r="U77" s="203">
        <f t="shared" si="11"/>
        <v>0</v>
      </c>
      <c r="V77" s="286"/>
      <c r="W77" s="211"/>
      <c r="X77" s="217"/>
      <c r="Y77" s="293"/>
      <c r="Z77" s="292"/>
      <c r="AA77" s="222"/>
      <c r="AB77" s="288"/>
      <c r="AC77" s="225"/>
      <c r="AD77" s="226"/>
      <c r="AE77" s="224"/>
      <c r="AF77" s="225"/>
      <c r="AG77" s="226"/>
      <c r="AH77" s="224"/>
      <c r="AI77" s="225"/>
      <c r="AJ77" s="226"/>
      <c r="AK77" s="223"/>
      <c r="AL77" s="208"/>
      <c r="AM77" s="268"/>
      <c r="AN77" s="270"/>
      <c r="AO77" s="261"/>
      <c r="AP77" s="199"/>
      <c r="AQ77" s="262"/>
      <c r="AR77" s="340"/>
    </row>
    <row r="78" spans="1:44" s="19" customFormat="1" ht="15.75" x14ac:dyDescent="0.25">
      <c r="A78" s="238"/>
      <c r="B78" s="212"/>
      <c r="C78" s="212"/>
      <c r="D78" s="213"/>
      <c r="E78" s="213"/>
      <c r="F78" s="215"/>
      <c r="G78" s="215"/>
      <c r="H78" s="215"/>
      <c r="I78" s="216"/>
      <c r="J78" s="216"/>
      <c r="K78" s="216"/>
      <c r="L78" s="215"/>
      <c r="M78" s="215"/>
      <c r="N78" s="215"/>
      <c r="O78" s="213"/>
      <c r="P78" s="200">
        <f t="shared" si="7"/>
        <v>0</v>
      </c>
      <c r="Q78" s="201">
        <f t="shared" si="2"/>
        <v>0</v>
      </c>
      <c r="R78" s="202">
        <f t="shared" si="8"/>
        <v>0</v>
      </c>
      <c r="S78" s="202">
        <f t="shared" si="9"/>
        <v>0</v>
      </c>
      <c r="T78" s="202">
        <f t="shared" si="10"/>
        <v>0</v>
      </c>
      <c r="U78" s="203">
        <f t="shared" si="11"/>
        <v>0</v>
      </c>
      <c r="V78" s="286"/>
      <c r="W78" s="211"/>
      <c r="X78" s="217"/>
      <c r="Y78" s="293"/>
      <c r="Z78" s="292"/>
      <c r="AA78" s="222"/>
      <c r="AB78" s="288"/>
      <c r="AC78" s="225"/>
      <c r="AD78" s="226"/>
      <c r="AE78" s="224"/>
      <c r="AF78" s="225"/>
      <c r="AG78" s="226"/>
      <c r="AH78" s="224"/>
      <c r="AI78" s="225"/>
      <c r="AJ78" s="226"/>
      <c r="AK78" s="223"/>
      <c r="AL78" s="208"/>
      <c r="AM78" s="268"/>
      <c r="AN78" s="270"/>
      <c r="AO78" s="261"/>
      <c r="AP78" s="199"/>
      <c r="AQ78" s="262"/>
      <c r="AR78" s="340"/>
    </row>
    <row r="79" spans="1:44" s="19" customFormat="1" ht="15.75" x14ac:dyDescent="0.25">
      <c r="A79" s="238"/>
      <c r="B79" s="212"/>
      <c r="C79" s="212"/>
      <c r="D79" s="213"/>
      <c r="E79" s="213"/>
      <c r="F79" s="215"/>
      <c r="G79" s="215"/>
      <c r="H79" s="215"/>
      <c r="I79" s="216"/>
      <c r="J79" s="216"/>
      <c r="K79" s="216"/>
      <c r="L79" s="215"/>
      <c r="M79" s="215"/>
      <c r="N79" s="215"/>
      <c r="O79" s="213"/>
      <c r="P79" s="200">
        <f t="shared" si="7"/>
        <v>0</v>
      </c>
      <c r="Q79" s="201">
        <f t="shared" si="2"/>
        <v>0</v>
      </c>
      <c r="R79" s="202">
        <f t="shared" si="8"/>
        <v>0</v>
      </c>
      <c r="S79" s="202">
        <f t="shared" si="9"/>
        <v>0</v>
      </c>
      <c r="T79" s="202">
        <f t="shared" si="10"/>
        <v>0</v>
      </c>
      <c r="U79" s="203">
        <f t="shared" si="11"/>
        <v>0</v>
      </c>
      <c r="V79" s="286"/>
      <c r="W79" s="211"/>
      <c r="X79" s="217"/>
      <c r="Y79" s="293"/>
      <c r="Z79" s="292"/>
      <c r="AA79" s="222"/>
      <c r="AB79" s="288"/>
      <c r="AC79" s="225"/>
      <c r="AD79" s="226"/>
      <c r="AE79" s="224"/>
      <c r="AF79" s="225"/>
      <c r="AG79" s="226"/>
      <c r="AH79" s="224"/>
      <c r="AI79" s="225"/>
      <c r="AJ79" s="226"/>
      <c r="AK79" s="223"/>
      <c r="AL79" s="208"/>
      <c r="AM79" s="268"/>
      <c r="AN79" s="270"/>
      <c r="AO79" s="261"/>
      <c r="AP79" s="199"/>
      <c r="AQ79" s="262"/>
      <c r="AR79" s="340"/>
    </row>
    <row r="80" spans="1:44" s="19" customFormat="1" ht="15.75" x14ac:dyDescent="0.25">
      <c r="A80" s="238"/>
      <c r="B80" s="212"/>
      <c r="C80" s="212"/>
      <c r="D80" s="213"/>
      <c r="E80" s="213"/>
      <c r="F80" s="215"/>
      <c r="G80" s="215"/>
      <c r="H80" s="215"/>
      <c r="I80" s="216"/>
      <c r="J80" s="216"/>
      <c r="K80" s="216"/>
      <c r="L80" s="215"/>
      <c r="M80" s="215"/>
      <c r="N80" s="215"/>
      <c r="O80" s="213"/>
      <c r="P80" s="200">
        <f t="shared" si="7"/>
        <v>0</v>
      </c>
      <c r="Q80" s="201">
        <f t="shared" si="2"/>
        <v>0</v>
      </c>
      <c r="R80" s="202">
        <f t="shared" si="8"/>
        <v>0</v>
      </c>
      <c r="S80" s="202">
        <f t="shared" si="9"/>
        <v>0</v>
      </c>
      <c r="T80" s="202">
        <f t="shared" si="10"/>
        <v>0</v>
      </c>
      <c r="U80" s="203">
        <f t="shared" si="11"/>
        <v>0</v>
      </c>
      <c r="V80" s="286"/>
      <c r="W80" s="211"/>
      <c r="X80" s="217"/>
      <c r="Y80" s="293"/>
      <c r="Z80" s="292"/>
      <c r="AA80" s="222"/>
      <c r="AB80" s="288"/>
      <c r="AC80" s="225"/>
      <c r="AD80" s="226"/>
      <c r="AE80" s="224"/>
      <c r="AF80" s="225"/>
      <c r="AG80" s="226"/>
      <c r="AH80" s="224"/>
      <c r="AI80" s="225"/>
      <c r="AJ80" s="226"/>
      <c r="AK80" s="223"/>
      <c r="AL80" s="208"/>
      <c r="AM80" s="268"/>
      <c r="AN80" s="270"/>
      <c r="AO80" s="261"/>
      <c r="AP80" s="199"/>
      <c r="AQ80" s="262"/>
      <c r="AR80" s="340"/>
    </row>
    <row r="81" spans="1:44" s="19" customFormat="1" ht="15.75" x14ac:dyDescent="0.25">
      <c r="A81" s="238"/>
      <c r="B81" s="212"/>
      <c r="C81" s="212"/>
      <c r="D81" s="213"/>
      <c r="E81" s="213"/>
      <c r="F81" s="215"/>
      <c r="G81" s="215"/>
      <c r="H81" s="215"/>
      <c r="I81" s="216"/>
      <c r="J81" s="216"/>
      <c r="K81" s="216"/>
      <c r="L81" s="215"/>
      <c r="M81" s="215"/>
      <c r="N81" s="215"/>
      <c r="O81" s="213"/>
      <c r="P81" s="200">
        <f t="shared" si="7"/>
        <v>0</v>
      </c>
      <c r="Q81" s="201">
        <f t="shared" si="2"/>
        <v>0</v>
      </c>
      <c r="R81" s="202">
        <f t="shared" si="8"/>
        <v>0</v>
      </c>
      <c r="S81" s="202">
        <f t="shared" si="9"/>
        <v>0</v>
      </c>
      <c r="T81" s="202">
        <f t="shared" si="10"/>
        <v>0</v>
      </c>
      <c r="U81" s="203">
        <f t="shared" si="11"/>
        <v>0</v>
      </c>
      <c r="V81" s="286"/>
      <c r="W81" s="211"/>
      <c r="X81" s="217"/>
      <c r="Y81" s="293"/>
      <c r="Z81" s="292"/>
      <c r="AA81" s="222"/>
      <c r="AB81" s="288"/>
      <c r="AC81" s="225"/>
      <c r="AD81" s="226"/>
      <c r="AE81" s="224"/>
      <c r="AF81" s="225"/>
      <c r="AG81" s="226"/>
      <c r="AH81" s="224"/>
      <c r="AI81" s="225"/>
      <c r="AJ81" s="226"/>
      <c r="AK81" s="223"/>
      <c r="AL81" s="208"/>
      <c r="AM81" s="268"/>
      <c r="AN81" s="270"/>
      <c r="AO81" s="261"/>
      <c r="AP81" s="199"/>
      <c r="AQ81" s="262"/>
      <c r="AR81" s="340"/>
    </row>
    <row r="82" spans="1:44" s="19" customFormat="1" ht="15.75" x14ac:dyDescent="0.25">
      <c r="A82" s="238"/>
      <c r="B82" s="212"/>
      <c r="C82" s="212"/>
      <c r="D82" s="213"/>
      <c r="E82" s="213"/>
      <c r="F82" s="215"/>
      <c r="G82" s="215"/>
      <c r="H82" s="215"/>
      <c r="I82" s="216"/>
      <c r="J82" s="216"/>
      <c r="K82" s="216"/>
      <c r="L82" s="215"/>
      <c r="M82" s="215"/>
      <c r="N82" s="215"/>
      <c r="O82" s="213"/>
      <c r="P82" s="200">
        <f t="shared" si="7"/>
        <v>0</v>
      </c>
      <c r="Q82" s="201">
        <f t="shared" si="2"/>
        <v>0</v>
      </c>
      <c r="R82" s="202">
        <f t="shared" si="8"/>
        <v>0</v>
      </c>
      <c r="S82" s="202">
        <f t="shared" si="9"/>
        <v>0</v>
      </c>
      <c r="T82" s="202">
        <f t="shared" si="10"/>
        <v>0</v>
      </c>
      <c r="U82" s="203">
        <f t="shared" si="11"/>
        <v>0</v>
      </c>
      <c r="V82" s="286"/>
      <c r="W82" s="211"/>
      <c r="X82" s="217"/>
      <c r="Y82" s="293"/>
      <c r="Z82" s="292"/>
      <c r="AA82" s="222"/>
      <c r="AB82" s="288"/>
      <c r="AC82" s="225"/>
      <c r="AD82" s="226"/>
      <c r="AE82" s="224"/>
      <c r="AF82" s="225"/>
      <c r="AG82" s="226"/>
      <c r="AH82" s="224"/>
      <c r="AI82" s="225"/>
      <c r="AJ82" s="226"/>
      <c r="AK82" s="223"/>
      <c r="AL82" s="208"/>
      <c r="AM82" s="268"/>
      <c r="AN82" s="270"/>
      <c r="AO82" s="261"/>
      <c r="AP82" s="199"/>
      <c r="AQ82" s="262"/>
      <c r="AR82" s="340"/>
    </row>
    <row r="83" spans="1:44" s="19" customFormat="1" ht="15.75" x14ac:dyDescent="0.25">
      <c r="A83" s="238"/>
      <c r="B83" s="212"/>
      <c r="C83" s="212"/>
      <c r="D83" s="213"/>
      <c r="E83" s="213"/>
      <c r="F83" s="215"/>
      <c r="G83" s="215"/>
      <c r="H83" s="215"/>
      <c r="I83" s="216"/>
      <c r="J83" s="216"/>
      <c r="K83" s="216"/>
      <c r="L83" s="215"/>
      <c r="M83" s="215"/>
      <c r="N83" s="215"/>
      <c r="O83" s="213"/>
      <c r="P83" s="200">
        <f t="shared" si="7"/>
        <v>0</v>
      </c>
      <c r="Q83" s="201">
        <f t="shared" si="2"/>
        <v>0</v>
      </c>
      <c r="R83" s="202">
        <f t="shared" si="8"/>
        <v>0</v>
      </c>
      <c r="S83" s="202">
        <f t="shared" si="9"/>
        <v>0</v>
      </c>
      <c r="T83" s="202">
        <f t="shared" si="10"/>
        <v>0</v>
      </c>
      <c r="U83" s="203">
        <f t="shared" si="11"/>
        <v>0</v>
      </c>
      <c r="V83" s="286"/>
      <c r="W83" s="211"/>
      <c r="X83" s="217"/>
      <c r="Y83" s="293"/>
      <c r="Z83" s="292"/>
      <c r="AA83" s="222"/>
      <c r="AB83" s="288"/>
      <c r="AC83" s="225"/>
      <c r="AD83" s="226"/>
      <c r="AE83" s="224"/>
      <c r="AF83" s="225"/>
      <c r="AG83" s="226"/>
      <c r="AH83" s="224"/>
      <c r="AI83" s="225"/>
      <c r="AJ83" s="226"/>
      <c r="AK83" s="223"/>
      <c r="AL83" s="208"/>
      <c r="AM83" s="268"/>
      <c r="AN83" s="270"/>
      <c r="AO83" s="261"/>
      <c r="AP83" s="199"/>
      <c r="AQ83" s="262"/>
      <c r="AR83" s="340"/>
    </row>
    <row r="84" spans="1:44" s="19" customFormat="1" ht="15.75" x14ac:dyDescent="0.25">
      <c r="A84" s="238"/>
      <c r="B84" s="212"/>
      <c r="C84" s="212"/>
      <c r="D84" s="213"/>
      <c r="E84" s="213"/>
      <c r="F84" s="215"/>
      <c r="G84" s="215"/>
      <c r="H84" s="215"/>
      <c r="I84" s="216"/>
      <c r="J84" s="216"/>
      <c r="K84" s="216"/>
      <c r="L84" s="215"/>
      <c r="M84" s="215"/>
      <c r="N84" s="215"/>
      <c r="O84" s="213"/>
      <c r="P84" s="200">
        <f t="shared" si="7"/>
        <v>0</v>
      </c>
      <c r="Q84" s="201">
        <f t="shared" si="2"/>
        <v>0</v>
      </c>
      <c r="R84" s="202">
        <f t="shared" si="8"/>
        <v>0</v>
      </c>
      <c r="S84" s="202">
        <f t="shared" si="9"/>
        <v>0</v>
      </c>
      <c r="T84" s="202">
        <f t="shared" si="10"/>
        <v>0</v>
      </c>
      <c r="U84" s="203">
        <f t="shared" si="11"/>
        <v>0</v>
      </c>
      <c r="V84" s="286"/>
      <c r="W84" s="211"/>
      <c r="X84" s="217"/>
      <c r="Y84" s="293"/>
      <c r="Z84" s="292"/>
      <c r="AA84" s="222"/>
      <c r="AB84" s="288"/>
      <c r="AC84" s="225"/>
      <c r="AD84" s="226"/>
      <c r="AE84" s="224"/>
      <c r="AF84" s="225"/>
      <c r="AG84" s="226"/>
      <c r="AH84" s="224"/>
      <c r="AI84" s="225"/>
      <c r="AJ84" s="226"/>
      <c r="AK84" s="223"/>
      <c r="AL84" s="208"/>
      <c r="AM84" s="268"/>
      <c r="AN84" s="270"/>
      <c r="AO84" s="261"/>
      <c r="AP84" s="199"/>
      <c r="AQ84" s="262"/>
      <c r="AR84" s="340"/>
    </row>
    <row r="85" spans="1:44" s="19" customFormat="1" ht="15.75" x14ac:dyDescent="0.25">
      <c r="A85" s="238"/>
      <c r="B85" s="212"/>
      <c r="C85" s="212"/>
      <c r="D85" s="213"/>
      <c r="E85" s="213"/>
      <c r="F85" s="215"/>
      <c r="G85" s="215"/>
      <c r="H85" s="215"/>
      <c r="I85" s="216"/>
      <c r="J85" s="216"/>
      <c r="K85" s="216"/>
      <c r="L85" s="215"/>
      <c r="M85" s="215"/>
      <c r="N85" s="215"/>
      <c r="O85" s="213"/>
      <c r="P85" s="200">
        <f t="shared" si="7"/>
        <v>0</v>
      </c>
      <c r="Q85" s="201">
        <f t="shared" si="2"/>
        <v>0</v>
      </c>
      <c r="R85" s="202">
        <f t="shared" si="8"/>
        <v>0</v>
      </c>
      <c r="S85" s="202">
        <f t="shared" si="9"/>
        <v>0</v>
      </c>
      <c r="T85" s="202">
        <f t="shared" si="10"/>
        <v>0</v>
      </c>
      <c r="U85" s="203">
        <f t="shared" si="11"/>
        <v>0</v>
      </c>
      <c r="V85" s="286"/>
      <c r="W85" s="211"/>
      <c r="X85" s="217"/>
      <c r="Y85" s="293"/>
      <c r="Z85" s="292"/>
      <c r="AA85" s="222"/>
      <c r="AB85" s="288"/>
      <c r="AC85" s="225"/>
      <c r="AD85" s="226"/>
      <c r="AE85" s="224"/>
      <c r="AF85" s="225"/>
      <c r="AG85" s="226"/>
      <c r="AH85" s="224"/>
      <c r="AI85" s="225"/>
      <c r="AJ85" s="226"/>
      <c r="AK85" s="223"/>
      <c r="AL85" s="208"/>
      <c r="AM85" s="268"/>
      <c r="AN85" s="270"/>
      <c r="AO85" s="261"/>
      <c r="AP85" s="199"/>
      <c r="AQ85" s="262"/>
      <c r="AR85" s="340"/>
    </row>
    <row r="86" spans="1:44" s="19" customFormat="1" ht="15.75" x14ac:dyDescent="0.25">
      <c r="A86" s="238"/>
      <c r="B86" s="212"/>
      <c r="C86" s="212"/>
      <c r="D86" s="213"/>
      <c r="E86" s="213"/>
      <c r="F86" s="215"/>
      <c r="G86" s="215"/>
      <c r="H86" s="215"/>
      <c r="I86" s="216"/>
      <c r="J86" s="216"/>
      <c r="K86" s="216"/>
      <c r="L86" s="215"/>
      <c r="M86" s="215"/>
      <c r="N86" s="215"/>
      <c r="O86" s="213"/>
      <c r="P86" s="200">
        <f t="shared" si="7"/>
        <v>0</v>
      </c>
      <c r="Q86" s="201">
        <f t="shared" si="2"/>
        <v>0</v>
      </c>
      <c r="R86" s="202">
        <f t="shared" si="8"/>
        <v>0</v>
      </c>
      <c r="S86" s="202">
        <f t="shared" si="9"/>
        <v>0</v>
      </c>
      <c r="T86" s="202">
        <f t="shared" si="10"/>
        <v>0</v>
      </c>
      <c r="U86" s="203">
        <f t="shared" si="11"/>
        <v>0</v>
      </c>
      <c r="V86" s="286"/>
      <c r="W86" s="211"/>
      <c r="X86" s="217"/>
      <c r="Y86" s="293"/>
      <c r="Z86" s="292"/>
      <c r="AA86" s="222"/>
      <c r="AB86" s="288"/>
      <c r="AC86" s="225"/>
      <c r="AD86" s="226"/>
      <c r="AE86" s="224"/>
      <c r="AF86" s="225"/>
      <c r="AG86" s="226"/>
      <c r="AH86" s="224"/>
      <c r="AI86" s="225"/>
      <c r="AJ86" s="226"/>
      <c r="AK86" s="223"/>
      <c r="AL86" s="208"/>
      <c r="AM86" s="268"/>
      <c r="AN86" s="270"/>
      <c r="AO86" s="261"/>
      <c r="AP86" s="199"/>
      <c r="AQ86" s="262"/>
      <c r="AR86" s="340"/>
    </row>
    <row r="87" spans="1:44" s="19" customFormat="1" ht="15.75" x14ac:dyDescent="0.25">
      <c r="A87" s="238"/>
      <c r="B87" s="212"/>
      <c r="C87" s="212"/>
      <c r="D87" s="213"/>
      <c r="E87" s="213"/>
      <c r="F87" s="215"/>
      <c r="G87" s="215"/>
      <c r="H87" s="215"/>
      <c r="I87" s="216"/>
      <c r="J87" s="216"/>
      <c r="K87" s="216"/>
      <c r="L87" s="215"/>
      <c r="M87" s="215"/>
      <c r="N87" s="215"/>
      <c r="O87" s="213"/>
      <c r="P87" s="200">
        <f t="shared" si="7"/>
        <v>0</v>
      </c>
      <c r="Q87" s="201">
        <f t="shared" si="2"/>
        <v>0</v>
      </c>
      <c r="R87" s="202">
        <f t="shared" si="8"/>
        <v>0</v>
      </c>
      <c r="S87" s="202">
        <f t="shared" si="9"/>
        <v>0</v>
      </c>
      <c r="T87" s="202">
        <f t="shared" si="10"/>
        <v>0</v>
      </c>
      <c r="U87" s="203">
        <f t="shared" si="11"/>
        <v>0</v>
      </c>
      <c r="V87" s="286"/>
      <c r="W87" s="211"/>
      <c r="X87" s="217"/>
      <c r="Y87" s="293"/>
      <c r="Z87" s="292"/>
      <c r="AA87" s="222"/>
      <c r="AB87" s="288"/>
      <c r="AC87" s="225"/>
      <c r="AD87" s="226"/>
      <c r="AE87" s="224"/>
      <c r="AF87" s="225"/>
      <c r="AG87" s="226"/>
      <c r="AH87" s="224"/>
      <c r="AI87" s="225"/>
      <c r="AJ87" s="226"/>
      <c r="AK87" s="223"/>
      <c r="AL87" s="208"/>
      <c r="AM87" s="268"/>
      <c r="AN87" s="270"/>
      <c r="AO87" s="261"/>
      <c r="AP87" s="199"/>
      <c r="AQ87" s="262"/>
      <c r="AR87" s="340"/>
    </row>
    <row r="88" spans="1:44" s="19" customFormat="1" ht="15.75" x14ac:dyDescent="0.25">
      <c r="A88" s="238"/>
      <c r="B88" s="212"/>
      <c r="C88" s="212"/>
      <c r="D88" s="213"/>
      <c r="E88" s="213"/>
      <c r="F88" s="215"/>
      <c r="G88" s="215"/>
      <c r="H88" s="215"/>
      <c r="I88" s="216"/>
      <c r="J88" s="216"/>
      <c r="K88" s="216"/>
      <c r="L88" s="215"/>
      <c r="M88" s="215"/>
      <c r="N88" s="215"/>
      <c r="O88" s="213"/>
      <c r="P88" s="200">
        <f t="shared" si="7"/>
        <v>0</v>
      </c>
      <c r="Q88" s="201">
        <f t="shared" si="2"/>
        <v>0</v>
      </c>
      <c r="R88" s="202">
        <f t="shared" si="8"/>
        <v>0</v>
      </c>
      <c r="S88" s="202">
        <f t="shared" si="9"/>
        <v>0</v>
      </c>
      <c r="T88" s="202">
        <f t="shared" si="10"/>
        <v>0</v>
      </c>
      <c r="U88" s="203">
        <f t="shared" si="11"/>
        <v>0</v>
      </c>
      <c r="V88" s="286"/>
      <c r="W88" s="211"/>
      <c r="X88" s="217"/>
      <c r="Y88" s="293"/>
      <c r="Z88" s="292"/>
      <c r="AA88" s="222"/>
      <c r="AB88" s="288"/>
      <c r="AC88" s="225"/>
      <c r="AD88" s="226"/>
      <c r="AE88" s="224"/>
      <c r="AF88" s="225"/>
      <c r="AG88" s="226"/>
      <c r="AH88" s="224"/>
      <c r="AI88" s="225"/>
      <c r="AJ88" s="226"/>
      <c r="AK88" s="223"/>
      <c r="AL88" s="208"/>
      <c r="AM88" s="268"/>
      <c r="AN88" s="270"/>
      <c r="AO88" s="261"/>
      <c r="AP88" s="199"/>
      <c r="AQ88" s="262"/>
      <c r="AR88" s="340"/>
    </row>
    <row r="89" spans="1:44" s="19" customFormat="1" ht="15.75" x14ac:dyDescent="0.25">
      <c r="A89" s="238"/>
      <c r="B89" s="212"/>
      <c r="C89" s="212"/>
      <c r="D89" s="213"/>
      <c r="E89" s="213"/>
      <c r="F89" s="215"/>
      <c r="G89" s="215"/>
      <c r="H89" s="215"/>
      <c r="I89" s="216"/>
      <c r="J89" s="216"/>
      <c r="K89" s="216"/>
      <c r="L89" s="215"/>
      <c r="M89" s="215"/>
      <c r="N89" s="215"/>
      <c r="O89" s="213"/>
      <c r="P89" s="200">
        <f t="shared" si="7"/>
        <v>0</v>
      </c>
      <c r="Q89" s="201">
        <f t="shared" si="2"/>
        <v>0</v>
      </c>
      <c r="R89" s="202">
        <f t="shared" si="8"/>
        <v>0</v>
      </c>
      <c r="S89" s="202">
        <f t="shared" si="9"/>
        <v>0</v>
      </c>
      <c r="T89" s="202">
        <f t="shared" si="10"/>
        <v>0</v>
      </c>
      <c r="U89" s="203">
        <f t="shared" si="11"/>
        <v>0</v>
      </c>
      <c r="V89" s="286"/>
      <c r="W89" s="211"/>
      <c r="X89" s="217"/>
      <c r="Y89" s="293"/>
      <c r="Z89" s="292"/>
      <c r="AA89" s="222"/>
      <c r="AB89" s="288"/>
      <c r="AC89" s="225"/>
      <c r="AD89" s="226"/>
      <c r="AE89" s="224"/>
      <c r="AF89" s="225"/>
      <c r="AG89" s="226"/>
      <c r="AH89" s="224"/>
      <c r="AI89" s="225"/>
      <c r="AJ89" s="226"/>
      <c r="AK89" s="223"/>
      <c r="AL89" s="208"/>
      <c r="AM89" s="268"/>
      <c r="AN89" s="270"/>
      <c r="AO89" s="261"/>
      <c r="AP89" s="199"/>
      <c r="AQ89" s="262"/>
      <c r="AR89" s="340"/>
    </row>
    <row r="90" spans="1:44" s="33" customFormat="1" ht="15.75" x14ac:dyDescent="0.25">
      <c r="A90" s="238"/>
      <c r="B90" s="212"/>
      <c r="C90" s="212"/>
      <c r="D90" s="213"/>
      <c r="E90" s="213"/>
      <c r="F90" s="213"/>
      <c r="G90" s="213"/>
      <c r="H90" s="213"/>
      <c r="I90" s="213"/>
      <c r="J90" s="237"/>
      <c r="K90" s="213"/>
      <c r="L90" s="213"/>
      <c r="M90" s="213"/>
      <c r="N90" s="213"/>
      <c r="O90" s="213"/>
      <c r="P90" s="200">
        <f t="shared" si="7"/>
        <v>0</v>
      </c>
      <c r="Q90" s="201">
        <f t="shared" si="2"/>
        <v>0</v>
      </c>
      <c r="R90" s="202">
        <f t="shared" si="8"/>
        <v>0</v>
      </c>
      <c r="S90" s="202">
        <f t="shared" si="9"/>
        <v>0</v>
      </c>
      <c r="T90" s="202">
        <f t="shared" si="10"/>
        <v>0</v>
      </c>
      <c r="U90" s="203">
        <f t="shared" si="11"/>
        <v>0</v>
      </c>
      <c r="V90" s="286"/>
      <c r="W90" s="211"/>
      <c r="X90" s="217"/>
      <c r="Y90" s="293"/>
      <c r="Z90" s="292"/>
      <c r="AA90" s="222"/>
      <c r="AB90" s="288"/>
      <c r="AC90" s="225"/>
      <c r="AD90" s="226"/>
      <c r="AE90" s="224"/>
      <c r="AF90" s="225"/>
      <c r="AG90" s="226"/>
      <c r="AH90" s="224"/>
      <c r="AI90" s="225"/>
      <c r="AJ90" s="226"/>
      <c r="AK90" s="227"/>
      <c r="AL90" s="228"/>
      <c r="AM90" s="214"/>
      <c r="AN90" s="271"/>
      <c r="AO90" s="261"/>
      <c r="AP90" s="199"/>
      <c r="AQ90" s="262"/>
      <c r="AR90" s="340"/>
    </row>
    <row r="91" spans="1:44" s="19" customFormat="1" ht="15.75" x14ac:dyDescent="0.25">
      <c r="A91" s="238"/>
      <c r="B91" s="212"/>
      <c r="C91" s="212"/>
      <c r="D91" s="213"/>
      <c r="E91" s="213"/>
      <c r="F91" s="215"/>
      <c r="G91" s="215"/>
      <c r="H91" s="215"/>
      <c r="I91" s="216"/>
      <c r="J91" s="239"/>
      <c r="K91" s="216"/>
      <c r="L91" s="215"/>
      <c r="M91" s="215"/>
      <c r="N91" s="215"/>
      <c r="O91" s="213"/>
      <c r="P91" s="200">
        <f t="shared" si="7"/>
        <v>0</v>
      </c>
      <c r="Q91" s="201">
        <f t="shared" si="2"/>
        <v>0</v>
      </c>
      <c r="R91" s="202">
        <f t="shared" si="8"/>
        <v>0</v>
      </c>
      <c r="S91" s="202">
        <f t="shared" si="9"/>
        <v>0</v>
      </c>
      <c r="T91" s="202">
        <f t="shared" si="10"/>
        <v>0</v>
      </c>
      <c r="U91" s="203">
        <f t="shared" si="11"/>
        <v>0</v>
      </c>
      <c r="V91" s="286"/>
      <c r="W91" s="211"/>
      <c r="X91" s="217"/>
      <c r="Y91" s="293"/>
      <c r="Z91" s="292"/>
      <c r="AA91" s="222"/>
      <c r="AB91" s="288"/>
      <c r="AC91" s="225"/>
      <c r="AD91" s="226"/>
      <c r="AE91" s="224"/>
      <c r="AF91" s="225"/>
      <c r="AG91" s="226"/>
      <c r="AH91" s="224"/>
      <c r="AI91" s="225"/>
      <c r="AJ91" s="226"/>
      <c r="AK91" s="223"/>
      <c r="AL91" s="208"/>
      <c r="AM91" s="268"/>
      <c r="AN91" s="270"/>
      <c r="AO91" s="261"/>
      <c r="AP91" s="199"/>
      <c r="AQ91" s="262"/>
      <c r="AR91" s="340"/>
    </row>
    <row r="92" spans="1:44" s="19" customFormat="1" ht="15.75" x14ac:dyDescent="0.25">
      <c r="A92" s="238"/>
      <c r="B92" s="212"/>
      <c r="C92" s="212"/>
      <c r="D92" s="213"/>
      <c r="E92" s="213"/>
      <c r="F92" s="215"/>
      <c r="G92" s="215"/>
      <c r="H92" s="215"/>
      <c r="I92" s="216"/>
      <c r="J92" s="239"/>
      <c r="K92" s="216"/>
      <c r="L92" s="215"/>
      <c r="M92" s="215"/>
      <c r="N92" s="215"/>
      <c r="O92" s="213"/>
      <c r="P92" s="200">
        <f t="shared" si="7"/>
        <v>0</v>
      </c>
      <c r="Q92" s="201">
        <f t="shared" si="2"/>
        <v>0</v>
      </c>
      <c r="R92" s="202">
        <f t="shared" si="8"/>
        <v>0</v>
      </c>
      <c r="S92" s="202">
        <f t="shared" si="9"/>
        <v>0</v>
      </c>
      <c r="T92" s="202">
        <f t="shared" si="10"/>
        <v>0</v>
      </c>
      <c r="U92" s="203">
        <f t="shared" si="11"/>
        <v>0</v>
      </c>
      <c r="V92" s="286"/>
      <c r="W92" s="211"/>
      <c r="X92" s="217"/>
      <c r="Y92" s="293"/>
      <c r="Z92" s="292"/>
      <c r="AA92" s="222"/>
      <c r="AB92" s="288"/>
      <c r="AC92" s="225"/>
      <c r="AD92" s="226"/>
      <c r="AE92" s="224"/>
      <c r="AF92" s="225"/>
      <c r="AG92" s="226"/>
      <c r="AH92" s="224"/>
      <c r="AI92" s="225"/>
      <c r="AJ92" s="226"/>
      <c r="AK92" s="223"/>
      <c r="AL92" s="208"/>
      <c r="AM92" s="268"/>
      <c r="AN92" s="270"/>
      <c r="AO92" s="261"/>
      <c r="AP92" s="199"/>
      <c r="AQ92" s="262"/>
      <c r="AR92" s="340"/>
    </row>
    <row r="93" spans="1:44" s="19" customFormat="1" ht="15.75" x14ac:dyDescent="0.25">
      <c r="A93" s="337"/>
      <c r="B93" s="229"/>
      <c r="C93" s="229"/>
      <c r="D93" s="230"/>
      <c r="E93" s="230"/>
      <c r="F93" s="215"/>
      <c r="G93" s="240"/>
      <c r="H93" s="338"/>
      <c r="I93" s="231"/>
      <c r="J93" s="241"/>
      <c r="K93" s="231"/>
      <c r="L93" s="338"/>
      <c r="M93" s="338"/>
      <c r="N93" s="338"/>
      <c r="O93" s="230"/>
      <c r="P93" s="200">
        <f t="shared" si="7"/>
        <v>0</v>
      </c>
      <c r="Q93" s="201">
        <f t="shared" si="2"/>
        <v>0</v>
      </c>
      <c r="R93" s="202">
        <f t="shared" si="8"/>
        <v>0</v>
      </c>
      <c r="S93" s="202">
        <f t="shared" si="9"/>
        <v>0</v>
      </c>
      <c r="T93" s="202">
        <f t="shared" si="10"/>
        <v>0</v>
      </c>
      <c r="U93" s="203">
        <f t="shared" si="11"/>
        <v>0</v>
      </c>
      <c r="V93" s="286"/>
      <c r="W93" s="211"/>
      <c r="X93" s="217"/>
      <c r="Y93" s="293"/>
      <c r="Z93" s="292"/>
      <c r="AA93" s="222"/>
      <c r="AB93" s="289"/>
      <c r="AC93" s="233"/>
      <c r="AD93" s="234"/>
      <c r="AE93" s="232"/>
      <c r="AF93" s="233"/>
      <c r="AG93" s="234"/>
      <c r="AH93" s="232"/>
      <c r="AI93" s="233"/>
      <c r="AJ93" s="233"/>
      <c r="AK93" s="235"/>
      <c r="AL93" s="236"/>
      <c r="AM93" s="269"/>
      <c r="AN93" s="270"/>
      <c r="AO93" s="263"/>
      <c r="AP93" s="260"/>
      <c r="AQ93" s="264"/>
      <c r="AR93" s="341"/>
    </row>
    <row r="94" spans="1:44" s="19" customFormat="1" ht="15.6" customHeight="1" thickBot="1" x14ac:dyDescent="0.3">
      <c r="A94" s="34"/>
      <c r="B94" s="28"/>
      <c r="C94" s="35"/>
      <c r="D94" s="35"/>
      <c r="E94" s="35"/>
      <c r="F94" s="35"/>
      <c r="G94" s="35"/>
      <c r="H94" s="35"/>
      <c r="I94" s="35"/>
      <c r="J94" s="28"/>
      <c r="K94" s="35"/>
      <c r="L94" s="35"/>
      <c r="M94" s="35"/>
      <c r="N94" s="35"/>
      <c r="O94" s="35"/>
      <c r="P94" s="20">
        <f t="shared" si="7"/>
        <v>0</v>
      </c>
      <c r="Q94" s="194">
        <f t="shared" si="2"/>
        <v>0</v>
      </c>
      <c r="R94" s="259">
        <f t="shared" si="8"/>
        <v>0</v>
      </c>
      <c r="S94" s="259">
        <f t="shared" si="9"/>
        <v>0</v>
      </c>
      <c r="T94" s="259">
        <f t="shared" si="10"/>
        <v>0</v>
      </c>
      <c r="U94" s="281">
        <f t="shared" si="11"/>
        <v>0</v>
      </c>
      <c r="V94" s="250"/>
      <c r="W94" s="251"/>
      <c r="X94" s="30"/>
      <c r="Y94" s="265"/>
      <c r="Z94" s="266"/>
      <c r="AA94" s="174"/>
      <c r="AB94" s="172"/>
      <c r="AC94" s="173"/>
      <c r="AD94" s="174"/>
      <c r="AE94" s="175"/>
      <c r="AF94" s="173"/>
      <c r="AG94" s="174"/>
      <c r="AH94" s="175"/>
      <c r="AI94" s="173"/>
      <c r="AJ94" s="173"/>
      <c r="AK94" s="196"/>
      <c r="AL94" s="195"/>
      <c r="AM94" s="196"/>
      <c r="AN94" s="195"/>
      <c r="AO94" s="265"/>
      <c r="AP94" s="266"/>
      <c r="AQ94" s="174"/>
      <c r="AR94" s="195"/>
    </row>
    <row r="95" spans="1:44" x14ac:dyDescent="0.25">
      <c r="J95"/>
    </row>
    <row r="96" spans="1:44" x14ac:dyDescent="0.25">
      <c r="F96" s="15"/>
      <c r="J96"/>
    </row>
    <row r="97" spans="5:38" x14ac:dyDescent="0.25">
      <c r="E97" t="s">
        <v>101</v>
      </c>
      <c r="F97" s="14" t="s">
        <v>206</v>
      </c>
      <c r="G97" t="s">
        <v>7</v>
      </c>
      <c r="J97"/>
      <c r="O97" s="14" t="s">
        <v>191</v>
      </c>
      <c r="P97" s="14"/>
      <c r="AL97" t="s">
        <v>393</v>
      </c>
    </row>
    <row r="98" spans="5:38" x14ac:dyDescent="0.25">
      <c r="E98" t="s">
        <v>208</v>
      </c>
      <c r="F98" s="14" t="s">
        <v>209</v>
      </c>
      <c r="G98" t="s">
        <v>8</v>
      </c>
      <c r="J98"/>
      <c r="O98" s="14" t="s">
        <v>210</v>
      </c>
      <c r="P98" s="14"/>
      <c r="AL98" t="s">
        <v>394</v>
      </c>
    </row>
    <row r="99" spans="5:38" x14ac:dyDescent="0.25">
      <c r="E99" t="s">
        <v>131</v>
      </c>
      <c r="F99" s="14" t="s">
        <v>212</v>
      </c>
      <c r="G99" t="s">
        <v>222</v>
      </c>
      <c r="J99"/>
      <c r="O99" s="14" t="s">
        <v>214</v>
      </c>
      <c r="P99" s="14"/>
      <c r="AL99" t="s">
        <v>114</v>
      </c>
    </row>
    <row r="100" spans="5:38" x14ac:dyDescent="0.25">
      <c r="F100" s="14" t="s">
        <v>216</v>
      </c>
      <c r="G100" t="s">
        <v>10</v>
      </c>
      <c r="J100"/>
      <c r="O100" s="14" t="s">
        <v>217</v>
      </c>
      <c r="P100" s="14"/>
      <c r="AL100" t="s">
        <v>395</v>
      </c>
    </row>
    <row r="101" spans="5:38" x14ac:dyDescent="0.25">
      <c r="F101" s="14" t="s">
        <v>219</v>
      </c>
      <c r="J101"/>
      <c r="O101" s="14" t="s">
        <v>18</v>
      </c>
      <c r="P101" s="14"/>
      <c r="AL101" t="s">
        <v>396</v>
      </c>
    </row>
    <row r="102" spans="5:38" x14ac:dyDescent="0.25">
      <c r="F102" s="14" t="s">
        <v>178</v>
      </c>
      <c r="J102"/>
      <c r="O102" s="14" t="s">
        <v>221</v>
      </c>
      <c r="P102" s="14"/>
    </row>
    <row r="103" spans="5:38" x14ac:dyDescent="0.25">
      <c r="F103" s="14" t="s">
        <v>195</v>
      </c>
      <c r="J103"/>
      <c r="O103" s="14" t="s">
        <v>112</v>
      </c>
    </row>
    <row r="104" spans="5:38" x14ac:dyDescent="0.25">
      <c r="F104" s="14" t="s">
        <v>223</v>
      </c>
      <c r="J104"/>
    </row>
    <row r="105" spans="5:38" x14ac:dyDescent="0.25">
      <c r="F105" s="14" t="s">
        <v>224</v>
      </c>
      <c r="J105"/>
    </row>
    <row r="106" spans="5:38" x14ac:dyDescent="0.25">
      <c r="F106" s="14" t="s">
        <v>225</v>
      </c>
      <c r="J106"/>
    </row>
    <row r="107" spans="5:38" x14ac:dyDescent="0.25">
      <c r="F107" s="14" t="s">
        <v>102</v>
      </c>
      <c r="J107"/>
    </row>
    <row r="108" spans="5:38" x14ac:dyDescent="0.25">
      <c r="F108" s="14" t="s">
        <v>226</v>
      </c>
      <c r="J108"/>
    </row>
    <row r="109" spans="5:38" x14ac:dyDescent="0.25">
      <c r="F109" s="14" t="s">
        <v>227</v>
      </c>
      <c r="J109"/>
    </row>
    <row r="110" spans="5:38" x14ac:dyDescent="0.25">
      <c r="F110" s="14" t="s">
        <v>228</v>
      </c>
      <c r="J110"/>
    </row>
    <row r="111" spans="5:38" x14ac:dyDescent="0.25">
      <c r="F111" s="14" t="s">
        <v>229</v>
      </c>
      <c r="J111"/>
    </row>
    <row r="112" spans="5:38" x14ac:dyDescent="0.25">
      <c r="F112" s="14" t="s">
        <v>231</v>
      </c>
      <c r="J112"/>
    </row>
    <row r="113" spans="6:10" x14ac:dyDescent="0.25">
      <c r="F113" s="14" t="s">
        <v>232</v>
      </c>
      <c r="J113"/>
    </row>
    <row r="114" spans="6:10" x14ac:dyDescent="0.25">
      <c r="F114" s="14" t="s">
        <v>233</v>
      </c>
      <c r="J114"/>
    </row>
    <row r="115" spans="6:10" x14ac:dyDescent="0.25">
      <c r="F115" s="14" t="s">
        <v>132</v>
      </c>
      <c r="J115"/>
    </row>
    <row r="116" spans="6:10" x14ac:dyDescent="0.25">
      <c r="I116" s="3"/>
      <c r="J116"/>
    </row>
    <row r="117" spans="6:10" x14ac:dyDescent="0.25">
      <c r="H117" s="3"/>
      <c r="J117"/>
    </row>
  </sheetData>
  <sheetProtection algorithmName="SHA-512" hashValue="jnxmWD9L/uZbgkVnGTAYV3Lgt2p1EFZmk1256Z3w/qGy1WkMpzXJ5hIgO7wSkQ2lh0l/Voh5b27NQuVSGM8IkQ==" saltValue="hlhTPyMEb/A4k6vg7aCmGg==" spinCount="100000" sheet="1" objects="1" scenarios="1"/>
  <mergeCells count="22">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 ref="AO32:AQ32"/>
    <mergeCell ref="AO33:AQ33"/>
    <mergeCell ref="K22:Q22"/>
    <mergeCell ref="B23:I23"/>
    <mergeCell ref="K23:Q23"/>
    <mergeCell ref="K25:Q25"/>
    <mergeCell ref="B26:I26"/>
    <mergeCell ref="K26:Q26"/>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zoomScale="70" zoomScaleNormal="70" workbookViewId="0">
      <selection activeCell="C8" sqref="C8"/>
    </sheetView>
  </sheetViews>
  <sheetFormatPr defaultColWidth="8.7109375" defaultRowHeight="15" x14ac:dyDescent="0.25"/>
  <cols>
    <col min="1" max="1" width="52.28515625" style="36" customWidth="1"/>
    <col min="2" max="5" width="11.7109375" style="36" customWidth="1"/>
    <col min="6" max="12" width="14.7109375" style="36" customWidth="1"/>
    <col min="13" max="16384" width="8.7109375" style="36"/>
  </cols>
  <sheetData>
    <row r="2" spans="1:12" ht="15.75" thickBot="1" x14ac:dyDescent="0.3"/>
    <row r="3" spans="1:12" ht="168.75" thickBot="1" x14ac:dyDescent="0.3">
      <c r="A3" s="37" t="s">
        <v>397</v>
      </c>
      <c r="B3" s="38" t="s">
        <v>333</v>
      </c>
      <c r="C3" s="38">
        <v>2023</v>
      </c>
      <c r="D3" s="38">
        <v>2024</v>
      </c>
      <c r="E3" s="38">
        <v>2025</v>
      </c>
      <c r="F3" s="103" t="s">
        <v>398</v>
      </c>
      <c r="G3" s="104" t="s">
        <v>399</v>
      </c>
      <c r="H3" s="104" t="s">
        <v>400</v>
      </c>
      <c r="I3" s="104" t="s">
        <v>401</v>
      </c>
      <c r="J3" s="104" t="s">
        <v>402</v>
      </c>
      <c r="K3" s="104" t="s">
        <v>403</v>
      </c>
      <c r="L3" s="105" t="s">
        <v>404</v>
      </c>
    </row>
    <row r="4" spans="1:12" x14ac:dyDescent="0.25">
      <c r="A4" s="295" t="s">
        <v>405</v>
      </c>
      <c r="B4" s="39"/>
      <c r="C4" s="39"/>
      <c r="D4" s="40"/>
      <c r="E4" s="40"/>
      <c r="L4" s="41"/>
    </row>
    <row r="5" spans="1:12" ht="24" x14ac:dyDescent="0.25">
      <c r="A5" s="71" t="s">
        <v>7</v>
      </c>
      <c r="B5" s="102">
        <f>SUM(C5:E5)</f>
        <v>2829240.2</v>
      </c>
      <c r="C5" s="42">
        <f>Tegevuskava!D23</f>
        <v>139308</v>
      </c>
      <c r="D5" s="42">
        <f>Tegevuskava!E23</f>
        <v>791559.2</v>
      </c>
      <c r="E5" s="42">
        <f>Tegevuskava!F23</f>
        <v>1898373</v>
      </c>
      <c r="F5" s="43" t="s">
        <v>261</v>
      </c>
      <c r="G5" s="43" t="s">
        <v>261</v>
      </c>
      <c r="H5" s="43" t="s">
        <v>261</v>
      </c>
      <c r="I5" s="43" t="s">
        <v>261</v>
      </c>
      <c r="J5" s="43" t="s">
        <v>261</v>
      </c>
      <c r="K5" s="43" t="s">
        <v>261</v>
      </c>
      <c r="L5" s="44" t="s">
        <v>261</v>
      </c>
    </row>
    <row r="6" spans="1:12" ht="24" x14ac:dyDescent="0.25">
      <c r="A6" s="71" t="s">
        <v>406</v>
      </c>
      <c r="B6" s="102">
        <f t="shared" ref="B6:B8" si="0">SUM(C6:E6)</f>
        <v>1152068</v>
      </c>
      <c r="C6" s="42">
        <f>Tegevuskava!D24</f>
        <v>21000</v>
      </c>
      <c r="D6" s="42">
        <f>Tegevuskava!E24</f>
        <v>325220</v>
      </c>
      <c r="E6" s="42">
        <f>Tegevuskava!F24</f>
        <v>805848</v>
      </c>
      <c r="F6" s="43" t="s">
        <v>261</v>
      </c>
      <c r="G6" s="43" t="s">
        <v>261</v>
      </c>
      <c r="H6" s="43" t="s">
        <v>261</v>
      </c>
      <c r="I6" s="43" t="s">
        <v>261</v>
      </c>
      <c r="J6" s="43" t="s">
        <v>261</v>
      </c>
      <c r="K6" s="43" t="s">
        <v>261</v>
      </c>
      <c r="L6" s="44" t="s">
        <v>261</v>
      </c>
    </row>
    <row r="7" spans="1:12" ht="36" x14ac:dyDescent="0.25">
      <c r="A7" s="71" t="s">
        <v>407</v>
      </c>
      <c r="B7" s="102">
        <f t="shared" si="0"/>
        <v>0</v>
      </c>
      <c r="C7" s="42">
        <f>Tegevuskava!D25</f>
        <v>0</v>
      </c>
      <c r="D7" s="42">
        <f>Tegevuskava!E25</f>
        <v>0</v>
      </c>
      <c r="E7" s="42">
        <f>Tegevuskava!F25</f>
        <v>0</v>
      </c>
      <c r="F7" s="43" t="s">
        <v>261</v>
      </c>
      <c r="G7" s="43" t="s">
        <v>261</v>
      </c>
      <c r="H7" s="43" t="s">
        <v>261</v>
      </c>
      <c r="I7" s="43" t="s">
        <v>261</v>
      </c>
      <c r="J7" s="43" t="s">
        <v>261</v>
      </c>
      <c r="K7" s="43" t="s">
        <v>261</v>
      </c>
      <c r="L7" s="44" t="s">
        <v>261</v>
      </c>
    </row>
    <row r="8" spans="1:12" ht="24.75" thickBot="1" x14ac:dyDescent="0.3">
      <c r="A8" s="72" t="s">
        <v>408</v>
      </c>
      <c r="B8" s="102">
        <f t="shared" si="0"/>
        <v>185494</v>
      </c>
      <c r="C8" s="42">
        <f>Tegevuskava!D26</f>
        <v>50000</v>
      </c>
      <c r="D8" s="42">
        <f>Tegevuskava!E26</f>
        <v>74802</v>
      </c>
      <c r="E8" s="42">
        <f>Tegevuskava!F26</f>
        <v>60692</v>
      </c>
      <c r="F8" s="43" t="s">
        <v>261</v>
      </c>
      <c r="G8" s="43" t="s">
        <v>261</v>
      </c>
      <c r="H8" s="43" t="s">
        <v>261</v>
      </c>
      <c r="I8" s="43" t="s">
        <v>261</v>
      </c>
      <c r="J8" s="43" t="s">
        <v>261</v>
      </c>
      <c r="K8" s="43" t="s">
        <v>261</v>
      </c>
      <c r="L8" s="44" t="s">
        <v>261</v>
      </c>
    </row>
    <row r="9" spans="1:12" ht="15.75" thickBot="1" x14ac:dyDescent="0.3">
      <c r="A9" s="45" t="s">
        <v>409</v>
      </c>
      <c r="B9" s="101">
        <f>SUM(B5:B8)</f>
        <v>4166802.2</v>
      </c>
      <c r="C9" s="101">
        <f>SUM(C5:C8)</f>
        <v>210308</v>
      </c>
      <c r="D9" s="101">
        <f>SUM(D5:D8)</f>
        <v>1191581.2</v>
      </c>
      <c r="E9" s="101">
        <f>SUM(E5:E8)</f>
        <v>2764913</v>
      </c>
      <c r="F9" s="46"/>
      <c r="G9" s="46"/>
      <c r="H9" s="46"/>
      <c r="I9" s="46"/>
      <c r="J9" s="46"/>
      <c r="K9" s="46"/>
      <c r="L9" s="47"/>
    </row>
    <row r="10" spans="1:12" ht="15.75" thickBot="1" x14ac:dyDescent="0.3"/>
    <row r="11" spans="1:12" x14ac:dyDescent="0.25">
      <c r="A11" s="48" t="s">
        <v>24</v>
      </c>
      <c r="B11" s="949" t="s">
        <v>25</v>
      </c>
      <c r="C11" s="950"/>
      <c r="D11" s="950"/>
      <c r="E11" s="950"/>
      <c r="F11" s="950"/>
      <c r="G11" s="950"/>
      <c r="H11" s="950"/>
      <c r="I11" s="951"/>
    </row>
    <row r="12" spans="1:12" ht="30" x14ac:dyDescent="0.25">
      <c r="A12" s="49" t="s">
        <v>28</v>
      </c>
      <c r="B12" s="106" t="s">
        <v>410</v>
      </c>
      <c r="C12" s="107" t="s">
        <v>411</v>
      </c>
      <c r="D12" s="107" t="s">
        <v>412</v>
      </c>
      <c r="E12" s="107" t="s">
        <v>413</v>
      </c>
      <c r="F12" s="107" t="s">
        <v>414</v>
      </c>
      <c r="G12" s="107" t="s">
        <v>415</v>
      </c>
      <c r="H12" s="107" t="s">
        <v>416</v>
      </c>
      <c r="I12" s="108" t="s">
        <v>417</v>
      </c>
    </row>
    <row r="13" spans="1:12" ht="15.75" thickBot="1" x14ac:dyDescent="0.3">
      <c r="A13" s="50" t="s">
        <v>37</v>
      </c>
      <c r="B13" s="109">
        <f>'kuni 2025 detsember tegevuskava'!B19</f>
        <v>0</v>
      </c>
      <c r="C13" s="109">
        <f>'kuni 2025 detsember tegevuskava'!C19</f>
        <v>0</v>
      </c>
      <c r="D13" s="109">
        <f>'kuni 2025 detsember tegevuskava'!D19</f>
        <v>1500</v>
      </c>
      <c r="E13" s="109">
        <f>'kuni 2025 detsember tegevuskava'!E19</f>
        <v>1500</v>
      </c>
      <c r="F13" s="109">
        <f>'kuni 2025 detsember tegevuskava'!F19</f>
        <v>1500</v>
      </c>
      <c r="G13" s="109">
        <f>'kuni 2025 detsember tegevuskava'!G19</f>
        <v>0</v>
      </c>
      <c r="H13" s="109">
        <f>'kuni 2025 detsember tegevuskava'!H19</f>
        <v>0</v>
      </c>
      <c r="I13" s="110">
        <f>'kuni 2025 detsember tegevuskava'!I19</f>
        <v>1500</v>
      </c>
    </row>
    <row r="14" spans="1:12" x14ac:dyDescent="0.25">
      <c r="A14" s="48" t="s">
        <v>40</v>
      </c>
      <c r="B14" s="949" t="s">
        <v>41</v>
      </c>
      <c r="C14" s="950"/>
      <c r="D14" s="950"/>
      <c r="E14" s="950"/>
      <c r="F14" s="950"/>
      <c r="G14" s="950"/>
      <c r="H14" s="950"/>
      <c r="I14" s="951"/>
    </row>
    <row r="15" spans="1:12" ht="30" x14ac:dyDescent="0.25">
      <c r="A15" s="49" t="s">
        <v>28</v>
      </c>
      <c r="B15" s="106" t="s">
        <v>410</v>
      </c>
      <c r="C15" s="107" t="s">
        <v>411</v>
      </c>
      <c r="D15" s="107" t="s">
        <v>412</v>
      </c>
      <c r="E15" s="107" t="s">
        <v>413</v>
      </c>
      <c r="F15" s="107" t="s">
        <v>414</v>
      </c>
      <c r="G15" s="107" t="s">
        <v>415</v>
      </c>
      <c r="H15" s="107" t="s">
        <v>416</v>
      </c>
      <c r="I15" s="108" t="s">
        <v>417</v>
      </c>
    </row>
    <row r="16" spans="1:12" ht="15.75" thickBot="1" x14ac:dyDescent="0.3">
      <c r="A16" s="50" t="s">
        <v>37</v>
      </c>
      <c r="B16" s="109">
        <f>'kuni 2025 detsember tegevuskava'!B22</f>
        <v>0</v>
      </c>
      <c r="C16" s="109">
        <f>'kuni 2025 detsember tegevuskava'!C22</f>
        <v>0</v>
      </c>
      <c r="D16" s="109">
        <f>'kuni 2025 detsember tegevuskava'!D22</f>
        <v>3</v>
      </c>
      <c r="E16" s="109">
        <f>'kuni 2025 detsember tegevuskava'!E22</f>
        <v>3</v>
      </c>
      <c r="F16" s="109">
        <f>'kuni 2025 detsember tegevuskava'!F22</f>
        <v>0</v>
      </c>
      <c r="G16" s="109">
        <f>'kuni 2025 detsember tegevuskava'!G22</f>
        <v>0</v>
      </c>
      <c r="H16" s="109">
        <f>'kuni 2025 detsember tegevuskava'!H22</f>
        <v>0</v>
      </c>
      <c r="I16" s="110">
        <f>'kuni 2025 detsember tegevuskava'!I22</f>
        <v>3</v>
      </c>
    </row>
    <row r="17" spans="1:9" x14ac:dyDescent="0.25">
      <c r="A17" s="48" t="s">
        <v>40</v>
      </c>
      <c r="B17" s="949" t="s">
        <v>45</v>
      </c>
      <c r="C17" s="950"/>
      <c r="D17" s="950"/>
      <c r="E17" s="950"/>
      <c r="F17" s="950"/>
      <c r="G17" s="950"/>
      <c r="H17" s="950"/>
      <c r="I17" s="951"/>
    </row>
    <row r="18" spans="1:9" ht="30" x14ac:dyDescent="0.25">
      <c r="A18" s="49" t="s">
        <v>28</v>
      </c>
      <c r="B18" s="106" t="s">
        <v>410</v>
      </c>
      <c r="C18" s="107" t="s">
        <v>411</v>
      </c>
      <c r="D18" s="107" t="s">
        <v>412</v>
      </c>
      <c r="E18" s="107" t="s">
        <v>413</v>
      </c>
      <c r="F18" s="107" t="s">
        <v>414</v>
      </c>
      <c r="G18" s="107" t="s">
        <v>415</v>
      </c>
      <c r="H18" s="107" t="s">
        <v>416</v>
      </c>
      <c r="I18" s="108" t="s">
        <v>417</v>
      </c>
    </row>
    <row r="19" spans="1:9" x14ac:dyDescent="0.25">
      <c r="A19" s="389" t="s">
        <v>37</v>
      </c>
      <c r="B19" s="411">
        <f>'kuni 2025 detsember tegevuskava'!B25</f>
        <v>0</v>
      </c>
      <c r="C19" s="411">
        <f>'kuni 2025 detsember tegevuskava'!C25</f>
        <v>5</v>
      </c>
      <c r="D19" s="411">
        <f>'kuni 2025 detsember tegevuskava'!D25</f>
        <v>5</v>
      </c>
      <c r="E19" s="411">
        <f>'kuni 2025 detsember tegevuskava'!E25</f>
        <v>0</v>
      </c>
      <c r="F19" s="411">
        <f>'kuni 2025 detsember tegevuskava'!F25</f>
        <v>0</v>
      </c>
      <c r="G19" s="411">
        <f>'kuni 2025 detsember tegevuskava'!G25</f>
        <v>0</v>
      </c>
      <c r="H19" s="411">
        <f>'kuni 2025 detsember tegevuskava'!H25</f>
        <v>0</v>
      </c>
      <c r="I19" s="412">
        <f>'kuni 2025 detsember tegevuskava'!I25</f>
        <v>0</v>
      </c>
    </row>
    <row r="20" spans="1:9" ht="30" x14ac:dyDescent="0.25">
      <c r="A20" s="385" t="s">
        <v>48</v>
      </c>
      <c r="B20" s="935" t="s">
        <v>49</v>
      </c>
      <c r="C20" s="952"/>
      <c r="D20" s="952"/>
      <c r="E20" s="952"/>
      <c r="F20" s="952"/>
      <c r="G20" s="952"/>
      <c r="H20" s="952"/>
      <c r="I20" s="953"/>
    </row>
    <row r="21" spans="1:9" ht="30" x14ac:dyDescent="0.25">
      <c r="A21" s="391" t="s">
        <v>28</v>
      </c>
      <c r="B21" s="106" t="s">
        <v>410</v>
      </c>
      <c r="C21" s="107" t="s">
        <v>411</v>
      </c>
      <c r="D21" s="107" t="s">
        <v>412</v>
      </c>
      <c r="E21" s="107" t="s">
        <v>413</v>
      </c>
      <c r="F21" s="107" t="s">
        <v>414</v>
      </c>
      <c r="G21" s="107" t="s">
        <v>415</v>
      </c>
      <c r="H21" s="107" t="s">
        <v>416</v>
      </c>
      <c r="I21" s="408" t="s">
        <v>417</v>
      </c>
    </row>
    <row r="22" spans="1:9" x14ac:dyDescent="0.25">
      <c r="A22" s="386" t="s">
        <v>37</v>
      </c>
      <c r="B22" s="409" t="str">
        <f>'kuni 2025 detsember tegevuskava'!B28&amp;"%"</f>
        <v>84%</v>
      </c>
      <c r="C22" s="409" t="str">
        <f>'kuni 2025 detsember tegevuskava'!C28&amp;"%"</f>
        <v>%</v>
      </c>
      <c r="D22" s="409" t="str">
        <f>'kuni 2025 detsember tegevuskava'!D28&amp;"%"</f>
        <v>%</v>
      </c>
      <c r="E22" s="409" t="str">
        <f>'kuni 2025 detsember tegevuskava'!E28&amp;"%"</f>
        <v>%</v>
      </c>
      <c r="F22" s="409" t="str">
        <f>'kuni 2025 detsember tegevuskava'!F28&amp;"%"</f>
        <v>85%</v>
      </c>
      <c r="G22" s="409" t="str">
        <f>'kuni 2025 detsember tegevuskava'!G28&amp;"%"</f>
        <v>%</v>
      </c>
      <c r="H22" s="409" t="str">
        <f>'kuni 2025 detsember tegevuskava'!H28&amp;"%"</f>
        <v>%</v>
      </c>
      <c r="I22" s="410" t="str">
        <f>'kuni 2025 detsember tegevuskava'!I28&amp;"%"</f>
        <v>90%</v>
      </c>
    </row>
    <row r="25" spans="1:9" x14ac:dyDescent="0.25">
      <c r="A25" s="51"/>
    </row>
    <row r="26" spans="1:9" x14ac:dyDescent="0.25">
      <c r="A26" s="51"/>
    </row>
  </sheetData>
  <sheetProtection algorithmName="SHA-512" hashValue="ujfGbWcjxXN1PV1QSgA4l+20+qhBO5qb++OT8Sz/KQ4NedTdIr4Pj+9BiPXk+Ete7o0MyK9nSzcifL7bhZfq1g==" saltValue="H1yFmCGeL6rSmPsWxgW0qw=="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119"/>
  <sheetViews>
    <sheetView tabSelected="1" zoomScaleNormal="100" workbookViewId="0">
      <selection activeCell="T42" sqref="T42"/>
    </sheetView>
  </sheetViews>
  <sheetFormatPr defaultColWidth="8.7109375" defaultRowHeight="15" x14ac:dyDescent="0.25"/>
  <cols>
    <col min="1" max="1" width="2.7109375" style="1" customWidth="1"/>
    <col min="2" max="2" width="18.7109375" style="1" customWidth="1"/>
    <col min="3" max="3" width="46.140625" style="1" customWidth="1"/>
    <col min="4" max="4" width="25.42578125" style="1" customWidth="1"/>
    <col min="5" max="5" width="47.5703125" style="1" customWidth="1"/>
    <col min="6" max="6" width="11.28515625" style="1" customWidth="1"/>
    <col min="7" max="7" width="2" style="1" customWidth="1"/>
    <col min="8" max="8" width="2.5703125" style="1" customWidth="1"/>
    <col min="9" max="9" width="11.42578125" style="1" customWidth="1"/>
    <col min="10" max="10" width="4.42578125" style="1" customWidth="1"/>
    <col min="11" max="11" width="11.42578125" style="1" customWidth="1"/>
    <col min="12" max="12" width="4.42578125" style="1" customWidth="1"/>
    <col min="13" max="13" width="11.42578125" style="1" customWidth="1"/>
    <col min="14" max="14" width="4.140625" style="1" customWidth="1"/>
    <col min="15" max="15" width="11.42578125" style="1" customWidth="1"/>
    <col min="16" max="16" width="4.42578125" style="1" customWidth="1"/>
    <col min="17" max="17" width="8.7109375" style="1"/>
    <col min="18" max="19" width="10.7109375" style="1" customWidth="1"/>
    <col min="20" max="20" width="10.5703125" style="1" customWidth="1"/>
    <col min="21" max="16384" width="8.7109375" style="1"/>
  </cols>
  <sheetData>
    <row r="2" spans="2:27" ht="21" customHeight="1" x14ac:dyDescent="0.25">
      <c r="B2" s="958" t="s">
        <v>528</v>
      </c>
      <c r="C2" s="958"/>
      <c r="D2" s="958"/>
      <c r="E2" s="958"/>
      <c r="F2" s="958"/>
      <c r="G2" s="958"/>
      <c r="H2" s="958"/>
      <c r="I2" s="958"/>
      <c r="J2" s="958"/>
      <c r="K2" s="958"/>
      <c r="L2" s="958"/>
      <c r="M2" s="958"/>
      <c r="N2" s="958"/>
      <c r="O2" s="958"/>
      <c r="P2" s="958"/>
    </row>
    <row r="4" spans="2:27" x14ac:dyDescent="0.25">
      <c r="B4" s="294" t="s">
        <v>418</v>
      </c>
    </row>
    <row r="6" spans="2:27" x14ac:dyDescent="0.25">
      <c r="B6" s="31" t="s">
        <v>419</v>
      </c>
    </row>
    <row r="7" spans="2:27" ht="49.5" customHeight="1" x14ac:dyDescent="0.25">
      <c r="B7" s="955" t="s">
        <v>420</v>
      </c>
      <c r="C7" s="956"/>
      <c r="D7" s="956"/>
      <c r="E7" s="956"/>
      <c r="F7" s="956"/>
      <c r="G7" s="956"/>
      <c r="H7" s="956"/>
      <c r="I7" s="956"/>
      <c r="J7" s="956"/>
      <c r="K7" s="956"/>
      <c r="L7" s="956"/>
      <c r="M7" s="956"/>
      <c r="N7" s="956"/>
      <c r="O7" s="956"/>
      <c r="P7" s="957"/>
      <c r="Q7" s="36"/>
      <c r="R7" s="36"/>
      <c r="S7" s="36"/>
      <c r="T7" s="36"/>
      <c r="U7" s="36"/>
    </row>
    <row r="9" spans="2:27" x14ac:dyDescent="0.25">
      <c r="B9" s="31" t="s">
        <v>421</v>
      </c>
    </row>
    <row r="10" spans="2:27" ht="51" customHeight="1" x14ac:dyDescent="0.25">
      <c r="B10" s="955" t="s">
        <v>527</v>
      </c>
      <c r="C10" s="956"/>
      <c r="D10" s="956"/>
      <c r="E10" s="956"/>
      <c r="F10" s="956"/>
      <c r="G10" s="956"/>
      <c r="H10" s="956"/>
      <c r="I10" s="956"/>
      <c r="J10" s="956"/>
      <c r="K10" s="956"/>
      <c r="L10" s="956"/>
      <c r="M10" s="956"/>
      <c r="N10" s="956"/>
      <c r="O10" s="956"/>
      <c r="P10" s="957"/>
      <c r="Q10" s="36"/>
      <c r="R10" s="36"/>
      <c r="S10" s="36"/>
      <c r="T10" s="36"/>
      <c r="U10" s="36"/>
    </row>
    <row r="12" spans="2:27" ht="15.75" thickBot="1" x14ac:dyDescent="0.3">
      <c r="B12" s="304" t="s">
        <v>422</v>
      </c>
      <c r="C12" s="163"/>
      <c r="D12" s="163"/>
      <c r="E12" s="163"/>
      <c r="F12" s="163"/>
      <c r="G12" s="163"/>
      <c r="H12" s="163"/>
      <c r="I12" s="73"/>
      <c r="J12" s="73"/>
      <c r="K12" s="190"/>
      <c r="L12" s="73"/>
      <c r="M12" s="73"/>
      <c r="N12" s="73"/>
      <c r="O12" s="73"/>
    </row>
    <row r="13" spans="2:27" ht="15.75" thickBot="1" x14ac:dyDescent="0.3">
      <c r="B13" s="305"/>
      <c r="C13" s="372" t="s">
        <v>423</v>
      </c>
      <c r="D13" s="374" t="s">
        <v>424</v>
      </c>
      <c r="E13" s="370" t="s">
        <v>425</v>
      </c>
      <c r="F13" s="376">
        <v>2025</v>
      </c>
      <c r="G13" s="163"/>
      <c r="H13" s="163"/>
      <c r="I13" s="73"/>
      <c r="J13" s="73"/>
      <c r="K13" s="297"/>
      <c r="L13" s="298"/>
      <c r="M13" s="298"/>
      <c r="N13" s="298"/>
      <c r="O13" s="190"/>
    </row>
    <row r="14" spans="2:27" ht="15.75" thickBot="1" x14ac:dyDescent="0.3">
      <c r="B14" s="306" t="s">
        <v>423</v>
      </c>
      <c r="C14" s="373">
        <f>SUM(D14:F14)</f>
        <v>3798718</v>
      </c>
      <c r="D14" s="375">
        <f>SUM(D15:D17)</f>
        <v>206590</v>
      </c>
      <c r="E14" s="371">
        <f t="shared" ref="E14:F14" si="0">SUM(E15:E17)</f>
        <v>1129011</v>
      </c>
      <c r="F14" s="377">
        <f t="shared" si="0"/>
        <v>2463117</v>
      </c>
      <c r="G14" s="163"/>
      <c r="H14" s="163"/>
      <c r="I14" s="73"/>
      <c r="J14" s="73"/>
      <c r="K14" s="299"/>
      <c r="L14" s="300"/>
      <c r="M14" s="301"/>
      <c r="N14" s="301"/>
      <c r="O14" s="301"/>
    </row>
    <row r="15" spans="2:27" ht="33.6" customHeight="1" x14ac:dyDescent="0.25">
      <c r="B15" s="307" t="s">
        <v>426</v>
      </c>
      <c r="C15" s="308">
        <f t="shared" ref="C15:C17" si="1">SUM(D15:F15)</f>
        <v>0</v>
      </c>
      <c r="D15" s="309" cm="1">
        <f t="array" ref="D15">SUM('kuni 2025 detsember tegevuskava'!X76:Z76+'kuni 2025 detsember tegevuskava'!X79:Z79+'kuni 2025 detsember tegevuskava'!X82:Z82+'kuni 2025 detsember tegevuskava'!X85:Z85)</f>
        <v>0</v>
      </c>
      <c r="E15" s="310" cm="1">
        <f t="array" ref="E15">SUM('kuni 2025 detsember tegevuskava'!AA76:AC76+'kuni 2025 detsember tegevuskava'!AA79:AC79+'kuni 2025 detsember tegevuskava'!AA82:AC82+'kuni 2025 detsember tegevuskava'!AA85:AC85)</f>
        <v>0</v>
      </c>
      <c r="F15" s="311" cm="1">
        <f t="array" ref="F15">SUM('kuni 2025 detsember tegevuskava'!AD76:AF76+'kuni 2025 detsember tegevuskava'!AD79:AF79+'kuni 2025 detsember tegevuskava'!AD82:AF82+'kuni 2025 detsember tegevuskava'!AD85:AF85)</f>
        <v>0</v>
      </c>
      <c r="G15" s="163"/>
      <c r="H15" s="163"/>
      <c r="I15" s="73"/>
      <c r="J15" s="73"/>
      <c r="K15" s="299"/>
      <c r="L15" s="300"/>
      <c r="M15" s="302"/>
      <c r="N15" s="302"/>
      <c r="O15" s="303"/>
      <c r="Q15" s="958"/>
      <c r="R15" s="958"/>
      <c r="S15" s="958"/>
      <c r="T15" s="958"/>
      <c r="U15" s="958"/>
      <c r="V15" s="958"/>
      <c r="W15" s="958"/>
      <c r="X15" s="958"/>
      <c r="Y15" s="958"/>
      <c r="Z15" s="958"/>
      <c r="AA15" s="958"/>
    </row>
    <row r="16" spans="2:27" ht="36" customHeight="1" x14ac:dyDescent="0.25">
      <c r="B16" s="312" t="s">
        <v>427</v>
      </c>
      <c r="C16" s="313">
        <f t="shared" si="1"/>
        <v>3798718</v>
      </c>
      <c r="D16" s="314" cm="1">
        <f t="array" ref="D16">SUM('kuni 2025 detsember tegevuskava'!X61:Z61+'kuni 2025 detsember tegevuskava'!X64:Z64+'kuni 2025 detsember tegevuskava'!X67:Z67+'kuni 2025 detsember tegevuskava'!X70:Z70)</f>
        <v>206590</v>
      </c>
      <c r="E16" s="315" cm="1">
        <f t="array" ref="E16">SUM('kuni 2025 detsember tegevuskava'!AA61:AC61+'kuni 2025 detsember tegevuskava'!AA64:AC64+'kuni 2025 detsember tegevuskava'!AA67:AC67+'kuni 2025 detsember tegevuskava'!AA70:AC70)</f>
        <v>1129011</v>
      </c>
      <c r="F16" s="316" cm="1">
        <f t="array" ref="F16">SUM('kuni 2025 detsember tegevuskava'!AD61:AF61+'kuni 2025 detsember tegevuskava'!AD64:AF64+'kuni 2025 detsember tegevuskava'!AD67:AF67+'kuni 2025 detsember tegevuskava'!AD70:AF70)</f>
        <v>2463117</v>
      </c>
      <c r="G16" s="163"/>
      <c r="H16" s="163"/>
      <c r="I16" s="73"/>
      <c r="J16" s="73"/>
      <c r="K16" s="299"/>
      <c r="L16" s="300"/>
      <c r="M16" s="302"/>
      <c r="N16" s="302"/>
      <c r="O16" s="303"/>
      <c r="Q16" s="958"/>
      <c r="R16" s="958"/>
      <c r="S16" s="958"/>
      <c r="T16" s="958"/>
      <c r="U16" s="958"/>
      <c r="V16" s="958"/>
      <c r="W16" s="958"/>
      <c r="X16" s="958"/>
      <c r="Y16" s="958"/>
      <c r="Z16" s="958"/>
      <c r="AA16" s="958"/>
    </row>
    <row r="17" spans="2:27" ht="35.1" customHeight="1" thickBot="1" x14ac:dyDescent="0.3">
      <c r="B17" s="317" t="s">
        <v>428</v>
      </c>
      <c r="C17" s="318">
        <f t="shared" si="1"/>
        <v>0</v>
      </c>
      <c r="D17" s="319" cm="1">
        <f t="array" ref="D17">SUM('kuni 2025 detsember tegevuskava'!X91:Z91+'kuni 2025 detsember tegevuskava'!X94:Z94+'kuni 2025 detsember tegevuskava'!X97:Z97+'kuni 2025 detsember tegevuskava'!X100:Z100)</f>
        <v>0</v>
      </c>
      <c r="E17" s="320" cm="1">
        <f t="array" ref="E17">SUM('kuni 2025 detsember tegevuskava'!AA91:AC91+'kuni 2025 detsember tegevuskava'!AA94:AC94+'kuni 2025 detsember tegevuskava'!AA97:AC97+'kuni 2025 detsember tegevuskava'!AA100:AC100)</f>
        <v>0</v>
      </c>
      <c r="F17" s="321" cm="1">
        <f t="array" ref="F17">SUM('kuni 2025 detsember tegevuskava'!AD91:AF91+'kuni 2025 detsember tegevuskava'!AD94:AF94+'kuni 2025 detsember tegevuskava'!AD97:AF97+'kuni 2025 detsember tegevuskava'!AD100:AF100)</f>
        <v>0</v>
      </c>
      <c r="G17" s="163"/>
      <c r="H17" s="163"/>
      <c r="I17" s="73"/>
      <c r="J17" s="73"/>
      <c r="K17" s="299"/>
      <c r="L17" s="300"/>
      <c r="M17" s="302"/>
      <c r="N17" s="302"/>
      <c r="O17" s="303"/>
      <c r="Q17" s="958"/>
      <c r="R17" s="958"/>
      <c r="S17" s="958"/>
      <c r="T17" s="958"/>
      <c r="U17" s="958"/>
      <c r="V17" s="958"/>
      <c r="W17" s="958"/>
      <c r="X17" s="958"/>
      <c r="Y17" s="958"/>
      <c r="Z17" s="958"/>
      <c r="AA17" s="958"/>
    </row>
    <row r="18" spans="2:27" x14ac:dyDescent="0.25">
      <c r="B18" s="163"/>
      <c r="C18" s="163"/>
      <c r="D18" s="163"/>
      <c r="E18" s="163"/>
      <c r="F18" s="163"/>
      <c r="G18" s="163"/>
      <c r="H18" s="163"/>
      <c r="I18" s="73"/>
      <c r="J18" s="73"/>
      <c r="K18" s="73"/>
      <c r="L18" s="73"/>
      <c r="M18" s="73"/>
      <c r="N18" s="73"/>
      <c r="O18" s="73"/>
    </row>
    <row r="19" spans="2:27" x14ac:dyDescent="0.25">
      <c r="B19" s="163"/>
      <c r="C19" s="163"/>
      <c r="D19" s="163"/>
      <c r="E19" s="163"/>
      <c r="F19" s="163"/>
      <c r="G19" s="163"/>
      <c r="H19" s="163"/>
      <c r="I19" s="73"/>
      <c r="J19" s="73"/>
      <c r="K19" s="73"/>
      <c r="L19" s="73"/>
      <c r="M19" s="73"/>
      <c r="N19" s="73"/>
      <c r="O19" s="73"/>
    </row>
    <row r="20" spans="2:27" x14ac:dyDescent="0.25">
      <c r="B20" s="304" t="s">
        <v>429</v>
      </c>
      <c r="C20" s="163"/>
      <c r="D20" s="163"/>
      <c r="E20" s="163"/>
      <c r="F20" s="163"/>
      <c r="G20" s="163"/>
      <c r="H20" s="163"/>
      <c r="I20" s="73"/>
      <c r="J20" s="73"/>
      <c r="K20" s="73"/>
      <c r="L20" s="73"/>
      <c r="M20" s="73"/>
      <c r="N20" s="73"/>
      <c r="O20" s="73"/>
    </row>
    <row r="21" spans="2:27" x14ac:dyDescent="0.25">
      <c r="B21" s="305"/>
      <c r="C21" s="379" t="s">
        <v>423</v>
      </c>
      <c r="D21" s="382" t="s">
        <v>424</v>
      </c>
      <c r="E21" s="370" t="s">
        <v>425</v>
      </c>
      <c r="F21" s="378" t="s">
        <v>430</v>
      </c>
      <c r="G21" s="163"/>
      <c r="H21" s="163"/>
      <c r="I21" s="73"/>
      <c r="J21" s="73"/>
      <c r="K21" s="73"/>
      <c r="L21" s="73"/>
      <c r="M21" s="73"/>
      <c r="N21" s="73"/>
      <c r="O21" s="73"/>
    </row>
    <row r="22" spans="2:27" x14ac:dyDescent="0.25">
      <c r="B22" s="322" t="s">
        <v>427</v>
      </c>
      <c r="C22" s="380">
        <f>SUM(D22:F22)</f>
        <v>4166802.2</v>
      </c>
      <c r="D22" s="383">
        <f>SUM(D23:D26)</f>
        <v>210308</v>
      </c>
      <c r="E22" s="381">
        <f t="shared" ref="E22:F22" si="2">SUM(E23:E26)</f>
        <v>1191581.2</v>
      </c>
      <c r="F22" s="384">
        <f t="shared" si="2"/>
        <v>2764913</v>
      </c>
      <c r="G22" s="163"/>
      <c r="H22" s="163"/>
      <c r="I22" s="73"/>
      <c r="J22" s="73"/>
      <c r="K22" s="73"/>
      <c r="L22" s="73"/>
      <c r="M22" s="73"/>
      <c r="N22" s="73"/>
      <c r="O22" s="73"/>
    </row>
    <row r="23" spans="2:27" ht="48" x14ac:dyDescent="0.25">
      <c r="B23" s="323" t="s">
        <v>7</v>
      </c>
      <c r="C23" s="324">
        <f>SUM(D23:F23)</f>
        <v>2829240.2</v>
      </c>
      <c r="D23" s="325">
        <f>SUM('kuni 2025 detsember tegevuskava'!X62:Z62)</f>
        <v>139308</v>
      </c>
      <c r="E23" s="326">
        <f>SUM('kuni 2025 detsember tegevuskava'!AA62:AC62)</f>
        <v>791559.2</v>
      </c>
      <c r="F23" s="327">
        <f>SUM('kuni 2025 detsember tegevuskava'!AD62:AF62)</f>
        <v>1898373</v>
      </c>
      <c r="G23" s="163"/>
      <c r="H23" s="163"/>
      <c r="I23" s="73"/>
      <c r="J23" s="73"/>
      <c r="K23" s="73"/>
      <c r="L23" s="73"/>
      <c r="M23" s="73"/>
      <c r="N23" s="73"/>
      <c r="O23" s="73"/>
    </row>
    <row r="24" spans="2:27" ht="72" x14ac:dyDescent="0.25">
      <c r="B24" s="323" t="s">
        <v>406</v>
      </c>
      <c r="C24" s="328">
        <f t="shared" ref="C24:C26" si="3">SUM(D24:F24)</f>
        <v>1152068</v>
      </c>
      <c r="D24" s="329">
        <f>SUM('kuni 2025 detsember tegevuskava'!X65:Z65)</f>
        <v>21000</v>
      </c>
      <c r="E24" s="330">
        <f>SUM('kuni 2025 detsember tegevuskava'!AA65:AC65)</f>
        <v>325220</v>
      </c>
      <c r="F24" s="331">
        <f>SUM('kuni 2025 detsember tegevuskava'!AD65:AF65)</f>
        <v>805848</v>
      </c>
      <c r="G24" s="163"/>
      <c r="H24" s="163"/>
      <c r="I24" s="73"/>
      <c r="J24" s="73"/>
      <c r="K24" s="73"/>
      <c r="L24" s="73"/>
      <c r="M24" s="73"/>
      <c r="N24" s="73"/>
      <c r="O24" s="73"/>
    </row>
    <row r="25" spans="2:27" ht="120" x14ac:dyDescent="0.25">
      <c r="B25" s="323" t="s">
        <v>407</v>
      </c>
      <c r="C25" s="328">
        <f t="shared" si="3"/>
        <v>0</v>
      </c>
      <c r="D25" s="329">
        <f>SUM('kuni 2025 detsember tegevuskava'!X68:Z68)</f>
        <v>0</v>
      </c>
      <c r="E25" s="330">
        <f>SUM('kuni 2025 detsember tegevuskava'!AA68:AC68)</f>
        <v>0</v>
      </c>
      <c r="F25" s="331">
        <f>SUM('kuni 2025 detsember tegevuskava'!AD68:AF68)</f>
        <v>0</v>
      </c>
      <c r="G25" s="163"/>
      <c r="H25" s="163"/>
      <c r="I25" s="73"/>
      <c r="J25" s="73"/>
      <c r="K25" s="73"/>
      <c r="L25" s="73"/>
      <c r="M25" s="73"/>
      <c r="N25" s="73"/>
      <c r="O25" s="73"/>
    </row>
    <row r="26" spans="2:27" ht="72.75" thickBot="1" x14ac:dyDescent="0.3">
      <c r="B26" s="332" t="s">
        <v>408</v>
      </c>
      <c r="C26" s="333">
        <f t="shared" si="3"/>
        <v>185494</v>
      </c>
      <c r="D26" s="334">
        <f>SUM('kuni 2025 detsember tegevuskava'!X71:Z71)</f>
        <v>50000</v>
      </c>
      <c r="E26" s="335">
        <f>SUM('kuni 2025 detsember tegevuskava'!AA71:AC71)</f>
        <v>74802</v>
      </c>
      <c r="F26" s="336">
        <f>SUM('kuni 2025 detsember tegevuskava'!AD71:AF71)</f>
        <v>60692</v>
      </c>
      <c r="G26" s="163"/>
      <c r="H26" s="163"/>
      <c r="I26" s="73"/>
      <c r="J26" s="73"/>
      <c r="K26" s="73"/>
      <c r="L26" s="73"/>
      <c r="M26" s="73"/>
      <c r="N26" s="73"/>
      <c r="O26" s="73"/>
    </row>
    <row r="28" spans="2:27" ht="15.75" thickBot="1" x14ac:dyDescent="0.3"/>
    <row r="29" spans="2:27" ht="30.6" customHeight="1" x14ac:dyDescent="0.25">
      <c r="B29" s="965" t="s">
        <v>431</v>
      </c>
      <c r="C29" s="967" t="s">
        <v>62</v>
      </c>
      <c r="D29" s="967" t="s">
        <v>63</v>
      </c>
      <c r="E29" s="164" t="s">
        <v>64</v>
      </c>
      <c r="F29" s="969" t="s">
        <v>432</v>
      </c>
      <c r="G29" s="970"/>
      <c r="H29" s="971"/>
      <c r="I29" s="959" t="s">
        <v>70</v>
      </c>
      <c r="J29" s="960"/>
      <c r="K29" s="959" t="s">
        <v>433</v>
      </c>
      <c r="L29" s="960"/>
      <c r="M29" s="959" t="s">
        <v>434</v>
      </c>
      <c r="N29" s="960"/>
      <c r="O29" s="959" t="s">
        <v>435</v>
      </c>
      <c r="P29" s="963"/>
    </row>
    <row r="30" spans="2:27" ht="15.75" thickBot="1" x14ac:dyDescent="0.3">
      <c r="B30" s="966"/>
      <c r="C30" s="968"/>
      <c r="D30" s="968"/>
      <c r="E30" s="52"/>
      <c r="F30" s="972"/>
      <c r="G30" s="972"/>
      <c r="H30" s="973"/>
      <c r="I30" s="961" t="s">
        <v>436</v>
      </c>
      <c r="J30" s="962"/>
      <c r="K30" s="961" t="s">
        <v>436</v>
      </c>
      <c r="L30" s="962"/>
      <c r="M30" s="961" t="s">
        <v>436</v>
      </c>
      <c r="N30" s="962"/>
      <c r="O30" s="961" t="s">
        <v>436</v>
      </c>
      <c r="P30" s="964"/>
    </row>
    <row r="31" spans="2:27" ht="15.75" thickBot="1" x14ac:dyDescent="0.3">
      <c r="B31" s="138" t="s">
        <v>437</v>
      </c>
      <c r="C31" s="139"/>
      <c r="D31" s="139"/>
      <c r="E31" s="139"/>
      <c r="F31" s="140"/>
      <c r="G31" s="141"/>
      <c r="H31" s="142"/>
      <c r="I31" s="136">
        <f>SUM(I32:I34)</f>
        <v>4588718</v>
      </c>
      <c r="J31" s="126"/>
      <c r="K31" s="127">
        <f>SUM(K32:K34)</f>
        <v>336590</v>
      </c>
      <c r="L31" s="128"/>
      <c r="M31" s="127">
        <f>SUM(M32:M34)</f>
        <v>1259011</v>
      </c>
      <c r="N31" s="126"/>
      <c r="O31" s="127">
        <f>SUM(O32:O34)</f>
        <v>2993117</v>
      </c>
      <c r="P31" s="129"/>
    </row>
    <row r="32" spans="2:27" x14ac:dyDescent="0.25">
      <c r="B32" s="143"/>
      <c r="C32" s="8"/>
      <c r="D32" s="8"/>
      <c r="E32" s="8"/>
      <c r="F32" s="130"/>
      <c r="G32" s="8"/>
      <c r="H32" s="144"/>
      <c r="I32" s="115">
        <f>SUM(I36+I41+I105+I110)</f>
        <v>1391800</v>
      </c>
      <c r="J32" s="114" t="str">
        <f>"(15)"</f>
        <v>(15)</v>
      </c>
      <c r="K32" s="55">
        <f>SUM(K36+K41+K105+K110)</f>
        <v>18590</v>
      </c>
      <c r="L32" s="114" t="str">
        <f>"(15)"</f>
        <v>(15)</v>
      </c>
      <c r="M32" s="55">
        <f>SUM(M36+M41+M105+M110)</f>
        <v>141410</v>
      </c>
      <c r="N32" s="114" t="str">
        <f>"(15)"</f>
        <v>(15)</v>
      </c>
      <c r="O32" s="55">
        <f>SUM(O36+O41+O105+O110)</f>
        <v>1231800</v>
      </c>
      <c r="P32" s="63" t="str">
        <f>"(15)"</f>
        <v>(15)</v>
      </c>
      <c r="Q32" s="852"/>
    </row>
    <row r="33" spans="2:17" ht="17.25" x14ac:dyDescent="0.25">
      <c r="B33" s="131"/>
      <c r="C33" s="8"/>
      <c r="D33" s="8"/>
      <c r="E33" s="8"/>
      <c r="F33" s="130"/>
      <c r="G33" s="8"/>
      <c r="H33" s="165"/>
      <c r="I33" s="115">
        <f>SUM(I42+I48+I58+I75+I80+I85+I90+I95)</f>
        <v>2123918</v>
      </c>
      <c r="J33" s="114" t="str">
        <f>"(50)"</f>
        <v>(50)</v>
      </c>
      <c r="K33" s="55">
        <f>SUM(K42+K48+K58+K75+K80+K85+K90+K95)</f>
        <v>188000</v>
      </c>
      <c r="L33" s="114" t="str">
        <f>"(50)"</f>
        <v>(50)</v>
      </c>
      <c r="M33" s="55">
        <f>SUM(M42+M48+M58+M75+M80+M85+M90+M95)</f>
        <v>844601</v>
      </c>
      <c r="N33" s="114" t="str">
        <f>"(50)"</f>
        <v>(50)</v>
      </c>
      <c r="O33" s="55">
        <f>SUM(O42+O48+O58+O75+O80+O85+O90+O95)</f>
        <v>1091317</v>
      </c>
      <c r="P33" s="63" t="str">
        <f>"(50)"</f>
        <v>(50)</v>
      </c>
      <c r="Q33" s="852"/>
    </row>
    <row r="34" spans="2:17" ht="18" thickBot="1" x14ac:dyDescent="0.3">
      <c r="B34" s="145"/>
      <c r="C34" s="8"/>
      <c r="D34" s="8"/>
      <c r="E34" s="8"/>
      <c r="F34" s="130"/>
      <c r="G34" s="8"/>
      <c r="H34" s="165"/>
      <c r="I34" s="115">
        <f>SUM(I53+I59+I65+I70+I100)</f>
        <v>1073000</v>
      </c>
      <c r="J34" s="114" t="str">
        <f>"(55)"</f>
        <v>(55)</v>
      </c>
      <c r="K34" s="55">
        <f>SUM(K53+K59+K65+K70+K100)</f>
        <v>130000</v>
      </c>
      <c r="L34" s="114" t="str">
        <f>"(55)"</f>
        <v>(55)</v>
      </c>
      <c r="M34" s="55">
        <f>SUM(M53+M59+M65+M70+M100)</f>
        <v>273000</v>
      </c>
      <c r="N34" s="114" t="str">
        <f>"(55)"</f>
        <v>(55)</v>
      </c>
      <c r="O34" s="55">
        <f>SUM(O53+O59+O65+O70+O100)</f>
        <v>670000</v>
      </c>
      <c r="P34" s="63" t="str">
        <f>"(55)"</f>
        <v>(55)</v>
      </c>
      <c r="Q34" s="852"/>
    </row>
    <row r="35" spans="2:17" ht="17.100000000000001" customHeight="1" x14ac:dyDescent="0.25">
      <c r="B35" s="974" t="str">
        <f>'kuni 2025 detsember tegevuskava'!A35&amp;"/"&amp;'kuni 2025 detsember tegevuskava'!C35</f>
        <v>RAM/RMIT</v>
      </c>
      <c r="C35" s="974" t="str">
        <f>'kuni 2025 detsember tegevuskava'!I35</f>
        <v>Teenuse toimimiseks vajalik riigikassa põhirakendus ja teenuste moodul on kirjutatud üle 10 aasta tagasi, mis toob kaasa suured küberriskid, sh puuduvad turvauuendused. 
Riigi arvelduste teenuse (e-RK) katkemisel ei täida RaM:
Eelarve baasseadusest tulenevat kohustust teostada asutuste kassalist teenindamist (162 asutust); Koostöölepingutest tulenvaid kohustusi, mis on sõlmitud sihtasutustega (55 asutust) ja AS Pensionikeskusega
E-riigikassa teenuse seisakuga:
1)	Puudub võimalus edastada makseid pankadesse, nt:
•	MTA suuremahulised füüsilise isiku tulumaksu tagastused, tagasimakse periood on mitu kuud;
•	AS Pensionikeskuse igakuised II ja III samba ülekanded, st e-riigikassa teenindab pensioniregistrit;
•	Kinnipeetavate jooksvad ülekanded , s.t e-riigikassa teenindab läbi Tartu Vangla K-RAHA kinnipeetavate infosüsteemi;
•	Igakuised ülekanded KOV-dele toetusfondi, tasandusfondi, investeeringutoetuste näol;
•	Suuremahulised toetused, millede väljamaksjateks: PRIA, EAS, MES, KredEx jms.	
2)	Puudub võimalus saada informatsiooni laekumiste kohta, millega on seotud teiste asutuste infosüsteemid, kus jooksvalt kontrollitakse summade laekumisi (riigilõivud, trahvid, tulud jne) nt:
•	Transpordiameti lõivustatud teenused
•	PPA ID/Mobiil ID kaardi lõivustatud teenused jms.</v>
      </c>
      <c r="D35" s="977" t="str">
        <f>'kuni 2025 detsember tegevuskava'!J35</f>
        <v>e-Riigikassa tehnilise platvormi uuendamine *</v>
      </c>
      <c r="E35" s="977" t="str">
        <f>'kuni 2025 detsember tegevuskava'!K35</f>
        <v xml:space="preserve">2024.a tulemus: 
1) Hankelepingu ettevalmistavad tööd; 2) hanke korraldamine; 3) lepingu sõlmimine; 4) toestatud maksete mooduli I etapi tööd. 
2025.a tulemus: 
1) kasutajaliideses maksete moodul ümber kirjutatud Veera raamistikule; 2) väljavõtte moodul (sh selgitamata kanded, aasta ja päeva lõpetamine) moodul ümber kirjutatud Veera raamistikule; ajakulu andmete töötlemisel on kasutajatele vähenenud; 3) vähenenud oht turvaintsidentide tekkimiseks, sh e-riigikassa katkestustega seotud kulude tekkimise risk (aasta baasil u 1,6 mln); 4) eemaldatud mittekasutavad funktsionaalsused;  5) tehnilised lahendused realiseeritud; 6) arendused on turvatestitud. </v>
      </c>
      <c r="F35" s="980" t="str">
        <f>'kuni 2025 detsember tegevuskava'!P35&amp;""</f>
        <v>SF 21-27 (taotletav raha)</v>
      </c>
      <c r="G35" s="865" cm="1">
        <f t="array" ref="G35">_xlfn.IFS('kuni 2025 detsember tegevuskava'!G35='kuni 2025 detsember tegevuskava'!$G$61,1,'kuni 2025 detsember tegevuskava'!G35='kuni 2025 detsember tegevuskava'!$G$62,2,'kuni 2025 detsember tegevuskava'!G35='kuni 2025 detsember tegevuskava'!$G$63,3,'kuni 2025 detsember tegevuskava'!G35='kuni 2025 detsember tegevuskava'!$G$64,4)</f>
        <v>1</v>
      </c>
      <c r="H35" s="866" cm="1">
        <f t="array" ref="H35">_xlfn.IFS(OR('kuni 2025 detsember tegevuskava'!P35='kuni 2025 detsember tegevuskava'!$P$61,'kuni 2025 detsember tegevuskava'!P35='kuni 2025 detsember tegevuskava'!$P$63,'kuni 2025 detsember tegevuskava'!P35='kuni 2025 detsember tegevuskava'!$P$64,'kuni 2025 detsember tegevuskava'!P35='kuni 2025 detsember tegevuskava'!$P$65),1,'kuni 2025 detsember tegevuskava'!P35='kuni 2025 detsember tegevuskava'!$P$66,2,'kuni 2025 detsember tegevuskava'!P35='kuni 2025 detsember tegevuskava'!$P$67,2,'kuni 2025 detsember tegevuskava'!P35='kuni 2025 detsember tegevuskava'!$P$62,3)</f>
        <v>2</v>
      </c>
      <c r="I35" s="125">
        <f>SUM(I36:I36)</f>
        <v>681800</v>
      </c>
      <c r="J35" s="146"/>
      <c r="K35" s="58">
        <f>SUM(K36:K36)</f>
        <v>0</v>
      </c>
      <c r="L35" s="147"/>
      <c r="M35" s="58">
        <f>SUM(M36:M36)</f>
        <v>50000</v>
      </c>
      <c r="N35" s="61"/>
      <c r="O35" s="58">
        <f>SUM(O36:O36)</f>
        <v>631800</v>
      </c>
      <c r="P35" s="62"/>
    </row>
    <row r="36" spans="2:17" ht="17.25" x14ac:dyDescent="0.25">
      <c r="B36" s="975"/>
      <c r="C36" s="975"/>
      <c r="D36" s="978"/>
      <c r="E36" s="978"/>
      <c r="F36" s="981"/>
      <c r="G36" s="864"/>
      <c r="H36" s="867"/>
      <c r="I36" s="123">
        <f>SUM(K36+M36+O36)</f>
        <v>681800</v>
      </c>
      <c r="J36" s="114" t="str">
        <f>"(15)"</f>
        <v>(15)</v>
      </c>
      <c r="K36" s="55">
        <f>'kuni 2025 detsember tegevuskava'!X35</f>
        <v>0</v>
      </c>
      <c r="L36" s="114" t="str">
        <f>"(15)"</f>
        <v>(15)</v>
      </c>
      <c r="M36" s="55">
        <f>'kuni 2025 detsember tegevuskava'!AA35</f>
        <v>50000</v>
      </c>
      <c r="N36" s="114" t="str">
        <f>"(15)"</f>
        <v>(15)</v>
      </c>
      <c r="O36" s="55">
        <f>'kuni 2025 detsember tegevuskava'!AD35</f>
        <v>631800</v>
      </c>
      <c r="P36" s="63" t="str">
        <f>"(15)"</f>
        <v>(15)</v>
      </c>
    </row>
    <row r="37" spans="2:17" ht="17.25" x14ac:dyDescent="0.25">
      <c r="B37" s="975"/>
      <c r="C37" s="975"/>
      <c r="D37" s="978"/>
      <c r="E37" s="978"/>
      <c r="F37" s="981"/>
      <c r="G37" s="864"/>
      <c r="H37" s="867"/>
      <c r="I37" s="122" t="s">
        <v>438</v>
      </c>
      <c r="J37" s="148"/>
      <c r="K37" s="853"/>
      <c r="L37" s="854"/>
      <c r="M37" s="853"/>
      <c r="N37" s="854"/>
      <c r="O37" s="853"/>
      <c r="P37" s="868"/>
    </row>
    <row r="38" spans="2:17" ht="17.25" x14ac:dyDescent="0.25">
      <c r="B38" s="975"/>
      <c r="C38" s="975"/>
      <c r="D38" s="978"/>
      <c r="E38" s="978"/>
      <c r="F38" s="981"/>
      <c r="G38" s="864"/>
      <c r="H38" s="867"/>
      <c r="I38" s="124">
        <f>SUM(I39:I39)</f>
        <v>831796</v>
      </c>
      <c r="J38" s="114"/>
      <c r="K38" s="135">
        <f>SUM(K39:K39)</f>
        <v>0</v>
      </c>
      <c r="L38" s="152"/>
      <c r="M38" s="132">
        <f>SUM(M39:M39)</f>
        <v>61000</v>
      </c>
      <c r="N38" s="97"/>
      <c r="O38" s="132">
        <f>SUM(O39:O39)</f>
        <v>770796</v>
      </c>
      <c r="P38" s="150"/>
    </row>
    <row r="39" spans="2:17" ht="409.5" customHeight="1" thickBot="1" x14ac:dyDescent="0.3">
      <c r="B39" s="975"/>
      <c r="C39" s="976"/>
      <c r="D39" s="979"/>
      <c r="E39" s="979"/>
      <c r="F39" s="982"/>
      <c r="G39" s="869"/>
      <c r="H39" s="166"/>
      <c r="I39" s="870">
        <f>SUM(K39+M39+O39)</f>
        <v>831796</v>
      </c>
      <c r="J39" s="65" t="str">
        <f>"(15)"</f>
        <v>(15)</v>
      </c>
      <c r="K39" s="66">
        <f>SUM(K36*1.2)</f>
        <v>0</v>
      </c>
      <c r="L39" s="65" t="str">
        <f>"(15)"</f>
        <v>(15)</v>
      </c>
      <c r="M39" s="66">
        <f>SUM(M36*1.22)</f>
        <v>61000</v>
      </c>
      <c r="N39" s="65" t="str">
        <f>"(15)"</f>
        <v>(15)</v>
      </c>
      <c r="O39" s="66">
        <f>SUM(O36*1.22)</f>
        <v>770796</v>
      </c>
      <c r="P39" s="67" t="str">
        <f>"(15)"</f>
        <v>(15)</v>
      </c>
    </row>
    <row r="40" spans="2:17" ht="17.25" x14ac:dyDescent="0.25">
      <c r="B40" s="974" t="str">
        <f>'kuni 2025 detsember tegevuskava'!A36&amp;"/"&amp;'kuni 2025 detsember tegevuskava'!C36</f>
        <v>RAM/RMIT</v>
      </c>
      <c r="C40" s="974" t="str">
        <f>'kuni 2025 detsember tegevuskava'!I36</f>
        <v xml:space="preserve">Riigi rahanduse valdkonna süsteemide uuele tasemele viimiseks puuduvad piisavad võimekused:
•Keskse, riigiülese infotehnoloogilise lahenduse puudumine, mis toetaks tegevuspõhise riigieelarve planeerimise, täitmise jälgimise, aruandluse ning kulu- ja juhtimisarvestusega seotud tegevusi ja piisav meeskonna võimekus
•Riigi arvelduste korraldamiseks ja  rahavoogude juhtimiseks vajalik kriitiline infosüsteem e-Riigikassa arendusteks puudub piisav meeskonna võimekus. </v>
      </c>
      <c r="D40" s="977" t="str">
        <f>'kuni 2025 detsember tegevuskava'!J36</f>
        <v>Rahanduse tiimi võimekuse suurendamine:
Eesti Vabariigi Riigieelarve Infosüsteemi (ERIS) loomiseks meeskondade võimestamine **
 e-Riigikassa tehnilise meeskondade võimestamiseks</v>
      </c>
      <c r="E40" s="977" t="str">
        <f>'kuni 2025 detsember tegevuskava'!K36</f>
        <v>2023.a tulemus: - (sisse ostetavat teenusena) hangitud 2 analüütiku abiga on läbi viidud eelanalüüs arenduse algatamiseks;
- juunis 2023 on palgatud süsteemiarhitekt;
- palgatud on esimene DevOps insener;
- palgatud on analüütik;
2024 tulemus:
- läbitud MKM äri- ja arhitektuuripaneelid;
- meeskonnad palgatud riigi rahanduse süsteemide arenduste teostamiseks ja toimimise toetamiseks. 
2025 tulemus:
- meeskonnad palgatud riigi rahanduse süsteemide arenduste teostamiseks ja toimimise toetamiseks.
2026.a tulemus: 1) ERIS MVP realiseerimine on töös; 2) infosüsteemi piloteerimine on käivitatud; 3) RmIT sisene ERIS tiim on komplekteeritud.</v>
      </c>
      <c r="F40" s="980" t="str">
        <f>'kuni 2025 detsember tegevuskava'!P36&amp;""</f>
        <v>SF 21-27 (taotletav raha)</v>
      </c>
      <c r="G40" s="871" cm="1">
        <f t="array" ref="G40">_xlfn.IFS('kuni 2025 detsember tegevuskava'!G36='kuni 2025 detsember tegevuskava'!$G$61,1,'kuni 2025 detsember tegevuskava'!G36='kuni 2025 detsember tegevuskava'!$G$62,2,'kuni 2025 detsember tegevuskava'!G36='kuni 2025 detsember tegevuskava'!$G$63,3,'kuni 2025 detsember tegevuskava'!G36='kuni 2025 detsember tegevuskava'!$G$64,4)</f>
        <v>1</v>
      </c>
      <c r="H40" s="167" cm="1">
        <f t="array" ref="H40">_xlfn.IFS(OR('kuni 2025 detsember tegevuskava'!P36='kuni 2025 detsember tegevuskava'!$P$61,'kuni 2025 detsember tegevuskava'!P36='kuni 2025 detsember tegevuskava'!$P$63,'kuni 2025 detsember tegevuskava'!P36='kuni 2025 detsember tegevuskava'!$P$64,'kuni 2025 detsember tegevuskava'!P36='kuni 2025 detsember tegevuskava'!$P$65),1,'kuni 2025 detsember tegevuskava'!P36='kuni 2025 detsember tegevuskava'!$P$66,2,'kuni 2025 detsember tegevuskava'!P36='kuni 2025 detsember tegevuskava'!$P$67,2,'kuni 2025 detsember tegevuskava'!P36='kuni 2025 detsember tegevuskava'!$P$62,3)</f>
        <v>2</v>
      </c>
      <c r="I40" s="125">
        <f>SUM(I41:I42)</f>
        <v>792597</v>
      </c>
      <c r="J40" s="59"/>
      <c r="K40" s="125">
        <f>SUM(K41:K42)</f>
        <v>73590</v>
      </c>
      <c r="L40" s="60"/>
      <c r="M40" s="125">
        <f>SUM(M41:M42)</f>
        <v>298043</v>
      </c>
      <c r="N40" s="61"/>
      <c r="O40" s="58">
        <f>SUM(O41:O42)</f>
        <v>420964</v>
      </c>
      <c r="P40" s="62"/>
    </row>
    <row r="41" spans="2:17" ht="17.25" x14ac:dyDescent="0.25">
      <c r="B41" s="975"/>
      <c r="C41" s="975"/>
      <c r="D41" s="978"/>
      <c r="E41" s="978"/>
      <c r="F41" s="981"/>
      <c r="G41" s="864"/>
      <c r="H41" s="867"/>
      <c r="I41" s="123">
        <f>SUM(K41+M41+O41)</f>
        <v>110000</v>
      </c>
      <c r="J41" s="114" t="str">
        <f>"(15)"</f>
        <v>(15)</v>
      </c>
      <c r="K41" s="55">
        <f>'kuni 2025 detsember tegevuskava'!X36</f>
        <v>18590</v>
      </c>
      <c r="L41" s="114" t="str">
        <f>"(15)"</f>
        <v>(15)</v>
      </c>
      <c r="M41" s="55">
        <f>'kuni 2025 detsember tegevuskava'!AA36</f>
        <v>91410</v>
      </c>
      <c r="N41" s="114" t="str">
        <f>"(15)"</f>
        <v>(15)</v>
      </c>
      <c r="O41" s="55">
        <f>'kuni 2025 detsember tegevuskava'!AD36</f>
        <v>0</v>
      </c>
      <c r="P41" s="63" t="str">
        <f>"(15)"</f>
        <v>(15)</v>
      </c>
    </row>
    <row r="42" spans="2:17" ht="17.25" x14ac:dyDescent="0.25">
      <c r="B42" s="975"/>
      <c r="C42" s="975"/>
      <c r="D42" s="978"/>
      <c r="E42" s="978"/>
      <c r="F42" s="981"/>
      <c r="G42" s="864"/>
      <c r="H42" s="867"/>
      <c r="I42" s="123">
        <f t="shared" ref="I42" si="4">SUM(K42+M42+O42)</f>
        <v>682597</v>
      </c>
      <c r="J42" s="114" t="str">
        <f>"(50)"</f>
        <v>(50)</v>
      </c>
      <c r="K42" s="55">
        <f>'kuni 2025 detsember tegevuskava'!Y36</f>
        <v>55000</v>
      </c>
      <c r="L42" s="114" t="str">
        <f>"(50)"</f>
        <v>(50)</v>
      </c>
      <c r="M42" s="55">
        <f>'kuni 2025 detsember tegevuskava'!AB36</f>
        <v>206633</v>
      </c>
      <c r="N42" s="114" t="str">
        <f>"(50)"</f>
        <v>(50)</v>
      </c>
      <c r="O42" s="55">
        <f>'kuni 2025 detsember tegevuskava'!AE36</f>
        <v>420964</v>
      </c>
      <c r="P42" s="63" t="str">
        <f>"(50)"</f>
        <v>(50)</v>
      </c>
    </row>
    <row r="43" spans="2:17" ht="17.25" x14ac:dyDescent="0.25">
      <c r="B43" s="975"/>
      <c r="C43" s="975"/>
      <c r="D43" s="978"/>
      <c r="E43" s="978"/>
      <c r="F43" s="981"/>
      <c r="G43" s="864"/>
      <c r="H43" s="867"/>
      <c r="I43" s="122" t="s">
        <v>438</v>
      </c>
      <c r="J43" s="855"/>
      <c r="K43" s="855"/>
      <c r="L43" s="855"/>
      <c r="M43" s="855"/>
      <c r="N43" s="855"/>
      <c r="O43" s="855"/>
      <c r="P43" s="872"/>
    </row>
    <row r="44" spans="2:17" ht="17.25" x14ac:dyDescent="0.25">
      <c r="B44" s="975"/>
      <c r="C44" s="975"/>
      <c r="D44" s="978"/>
      <c r="E44" s="978"/>
      <c r="F44" s="981"/>
      <c r="G44" s="864"/>
      <c r="H44" s="867"/>
      <c r="I44" s="135">
        <f>SUM(I45:I46)</f>
        <v>816425.2</v>
      </c>
      <c r="J44" s="133"/>
      <c r="K44" s="135">
        <f>SUM(K45:K46)</f>
        <v>77308</v>
      </c>
      <c r="L44" s="134"/>
      <c r="M44" s="135">
        <f>SUM(M45:M46)</f>
        <v>318153.2</v>
      </c>
      <c r="N44" s="98"/>
      <c r="O44" s="135">
        <f>SUM(O45:O46)</f>
        <v>420964</v>
      </c>
      <c r="P44" s="120"/>
    </row>
    <row r="45" spans="2:17" ht="17.25" x14ac:dyDescent="0.25">
      <c r="B45" s="975"/>
      <c r="C45" s="975"/>
      <c r="D45" s="978"/>
      <c r="E45" s="978"/>
      <c r="F45" s="981"/>
      <c r="G45" s="864"/>
      <c r="H45" s="867"/>
      <c r="I45" s="123">
        <f>SUM(K45+M45+O45)</f>
        <v>133828.20000000001</v>
      </c>
      <c r="J45" s="114" t="str">
        <f>"(15)"</f>
        <v>(15)</v>
      </c>
      <c r="K45" s="55">
        <f>SUM(K41*1.2)</f>
        <v>22308</v>
      </c>
      <c r="L45" s="114" t="str">
        <f>"(15)"</f>
        <v>(15)</v>
      </c>
      <c r="M45" s="55">
        <f>SUM(M41*1.22)</f>
        <v>111520.2</v>
      </c>
      <c r="N45" s="114" t="str">
        <f>"(15)"</f>
        <v>(15)</v>
      </c>
      <c r="O45" s="55">
        <f>SUM(O41*1.22)</f>
        <v>0</v>
      </c>
      <c r="P45" s="63" t="str">
        <f>"(15)"</f>
        <v>(15)</v>
      </c>
    </row>
    <row r="46" spans="2:17" ht="155.25" customHeight="1" thickBot="1" x14ac:dyDescent="0.3">
      <c r="B46" s="975"/>
      <c r="C46" s="976"/>
      <c r="D46" s="979"/>
      <c r="E46" s="979"/>
      <c r="F46" s="982"/>
      <c r="G46" s="869"/>
      <c r="H46" s="166"/>
      <c r="I46" s="870">
        <f t="shared" ref="I46" si="5">SUM(K46+M46+O46)</f>
        <v>682597</v>
      </c>
      <c r="J46" s="65" t="str">
        <f>"(50)"</f>
        <v>(50)</v>
      </c>
      <c r="K46" s="66">
        <f>K42</f>
        <v>55000</v>
      </c>
      <c r="L46" s="65" t="str">
        <f>"(50)"</f>
        <v>(50)</v>
      </c>
      <c r="M46" s="66">
        <f>M42</f>
        <v>206633</v>
      </c>
      <c r="N46" s="65" t="str">
        <f>"(50)"</f>
        <v>(50)</v>
      </c>
      <c r="O46" s="66">
        <f>O42</f>
        <v>420964</v>
      </c>
      <c r="P46" s="67" t="str">
        <f>"(50)"</f>
        <v>(50)</v>
      </c>
    </row>
    <row r="47" spans="2:17" ht="17.25" x14ac:dyDescent="0.25">
      <c r="B47" s="974" t="str">
        <f>'kuni 2025 detsember tegevuskava'!A37&amp;"/"&amp;'kuni 2025 detsember tegevuskava'!C37</f>
        <v>RAM/RM</v>
      </c>
      <c r="C47" s="974" t="str">
        <f>'kuni 2025 detsember tegevuskava'!I37</f>
        <v>Keskse, riigiülese infotehnoloogilise lahenduse puudumine, mis toetaks tegevuspõhise riigieelarve planeerimise, täitmise jälgimise, aruandluse ning kulu- ja juhtimisarvestusega seotud tegevusi. Puudub osaliselt meeskonna võimekus.</v>
      </c>
      <c r="D47" s="977" t="str">
        <f>'kuni 2025 detsember tegevuskava'!J37</f>
        <v>Eesti Vabariigi Riigieelarve Infosüsteemi (ERIS) loomine</v>
      </c>
      <c r="E47" s="977" t="str">
        <f>'kuni 2025 detsember tegevuskava'!K37</f>
        <v>2023. a tulemus: 
Värvatud RM IKT ärianalüütik III, kes panustab (RaM ja RMIT poolt tehtavasse) eelanalüüsi faasi jms tööd, mis on vajaliku arendushanke ettevalmistamiseks.
Ostetud sisse konsultatsiooniteenust, mille eesmärgiks on nõustada äripoolt ERIS projekti ärinõuete kokkupanekul ja lahenduse välja töötamisel.
2024. a tulemus:
 Värvatud RM IKT ärianalüütik III, kes panustab (RaM ja RMIT poolt tehtavasse) eelanalüüsi faasi jms tööd, mis on vajaliku arendushanke ettevalmistamiseks.
Ostetud sisse konsultatsiooniteenust, mille eesmärgiks on nõustada äripoolt ERIS projekti ärinõuete kokkupanekul ja lahenduse välja töötamisel.
2025.a:
 värvatud RM IKT ärianalüütik III panustab realiseerise faasis detailanalüüsiga seotud töödesse</v>
      </c>
      <c r="F47" s="980" t="str">
        <f>'kuni 2025 detsember tegevuskava'!P37&amp;""</f>
        <v>SF 21-27 (taotletav raha)</v>
      </c>
      <c r="G47" s="871" cm="1">
        <f t="array" ref="G47">_xlfn.IFS('kuni 2025 detsember tegevuskava'!G37='kuni 2025 detsember tegevuskava'!$G$61,1,'kuni 2025 detsember tegevuskava'!G37='kuni 2025 detsember tegevuskava'!$G$62,2,'kuni 2025 detsember tegevuskava'!G37='kuni 2025 detsember tegevuskava'!$G$63,3,'kuni 2025 detsember tegevuskava'!G37='kuni 2025 detsember tegevuskava'!$G$64,4)</f>
        <v>1</v>
      </c>
      <c r="H47" s="167" cm="1">
        <f t="array" ref="H47">_xlfn.IFS(OR('kuni 2025 detsember tegevuskava'!P37='kuni 2025 detsember tegevuskava'!$P$61,'kuni 2025 detsember tegevuskava'!P37='kuni 2025 detsember tegevuskava'!$P$63,'kuni 2025 detsember tegevuskava'!P37='kuni 2025 detsember tegevuskava'!$P$64,'kuni 2025 detsember tegevuskava'!P37='kuni 2025 detsember tegevuskava'!$P$65),1,'kuni 2025 detsember tegevuskava'!P37='kuni 2025 detsember tegevuskava'!$P$66,2,'kuni 2025 detsember tegevuskava'!P37='kuni 2025 detsember tegevuskava'!$P$67,2,'kuni 2025 detsember tegevuskava'!P37='kuni 2025 detsember tegevuskava'!$P$62,3)</f>
        <v>2</v>
      </c>
      <c r="I47" s="125">
        <f>SUM(I48:I48)</f>
        <v>139000</v>
      </c>
      <c r="J47" s="59"/>
      <c r="K47" s="58">
        <f>SUM(K48:K48)</f>
        <v>8000</v>
      </c>
      <c r="L47" s="60"/>
      <c r="M47" s="58">
        <f>SUM(M48:M48)</f>
        <v>73000</v>
      </c>
      <c r="N47" s="61"/>
      <c r="O47" s="58">
        <f>SUM(O48:O48)</f>
        <v>58000</v>
      </c>
      <c r="P47" s="62"/>
    </row>
    <row r="48" spans="2:17" ht="17.25" x14ac:dyDescent="0.25">
      <c r="B48" s="975"/>
      <c r="C48" s="975"/>
      <c r="D48" s="978"/>
      <c r="E48" s="978"/>
      <c r="F48" s="981"/>
      <c r="G48" s="864"/>
      <c r="H48" s="867"/>
      <c r="I48" s="123">
        <f t="shared" ref="I48" si="6">SUM(K48+M48+O48)</f>
        <v>139000</v>
      </c>
      <c r="J48" s="114" t="str">
        <f>"(50)"</f>
        <v>(50)</v>
      </c>
      <c r="K48" s="55">
        <f>'kuni 2025 detsember tegevuskava'!Y37</f>
        <v>8000</v>
      </c>
      <c r="L48" s="114" t="str">
        <f>"(50)"</f>
        <v>(50)</v>
      </c>
      <c r="M48" s="55">
        <f>'kuni 2025 detsember tegevuskava'!AB37</f>
        <v>73000</v>
      </c>
      <c r="N48" s="114" t="str">
        <f>"(50)"</f>
        <v>(50)</v>
      </c>
      <c r="O48" s="55">
        <f>'kuni 2025 detsember tegevuskava'!AE37</f>
        <v>58000</v>
      </c>
      <c r="P48" s="63" t="str">
        <f>"(50)"</f>
        <v>(50)</v>
      </c>
    </row>
    <row r="49" spans="2:16" ht="17.25" x14ac:dyDescent="0.25">
      <c r="B49" s="975"/>
      <c r="C49" s="975"/>
      <c r="D49" s="978"/>
      <c r="E49" s="978"/>
      <c r="F49" s="981"/>
      <c r="G49" s="864"/>
      <c r="H49" s="867"/>
      <c r="I49" s="162" t="s">
        <v>438</v>
      </c>
      <c r="J49" s="855"/>
      <c r="K49" s="855"/>
      <c r="L49" s="855"/>
      <c r="M49" s="855"/>
      <c r="N49" s="855"/>
      <c r="O49" s="855"/>
      <c r="P49" s="872"/>
    </row>
    <row r="50" spans="2:16" ht="17.25" x14ac:dyDescent="0.25">
      <c r="B50" s="975"/>
      <c r="C50" s="975"/>
      <c r="D50" s="978"/>
      <c r="E50" s="978"/>
      <c r="F50" s="981"/>
      <c r="G50" s="864"/>
      <c r="H50" s="867"/>
      <c r="I50" s="124">
        <f>SUM(I51:I51)</f>
        <v>139000</v>
      </c>
      <c r="J50" s="114"/>
      <c r="K50" s="124">
        <f>SUM(K51:K51)</f>
        <v>8000</v>
      </c>
      <c r="L50" s="856"/>
      <c r="M50" s="124">
        <f>SUM(M51:M51)</f>
        <v>73000</v>
      </c>
      <c r="O50" s="124">
        <f>SUM(O51:O51)</f>
        <v>58000</v>
      </c>
      <c r="P50" s="857"/>
    </row>
    <row r="51" spans="2:16" ht="226.5" customHeight="1" thickBot="1" x14ac:dyDescent="0.3">
      <c r="B51" s="975"/>
      <c r="C51" s="976"/>
      <c r="D51" s="979"/>
      <c r="E51" s="979"/>
      <c r="F51" s="982"/>
      <c r="G51" s="869"/>
      <c r="H51" s="166"/>
      <c r="I51" s="870">
        <f t="shared" ref="I51" si="7">SUM(K51+M51+O51)</f>
        <v>139000</v>
      </c>
      <c r="J51" s="65" t="str">
        <f>"(50)"</f>
        <v>(50)</v>
      </c>
      <c r="K51" s="66">
        <f>K48</f>
        <v>8000</v>
      </c>
      <c r="L51" s="65" t="str">
        <f>"(50)"</f>
        <v>(50)</v>
      </c>
      <c r="M51" s="66">
        <f>M48</f>
        <v>73000</v>
      </c>
      <c r="N51" s="65" t="str">
        <f>"(50)"</f>
        <v>(50)</v>
      </c>
      <c r="O51" s="66">
        <f>O48</f>
        <v>58000</v>
      </c>
      <c r="P51" s="67" t="str">
        <f>"(50)"</f>
        <v>(50)</v>
      </c>
    </row>
    <row r="52" spans="2:16" ht="17.25" x14ac:dyDescent="0.25">
      <c r="B52" s="974" t="str">
        <f>'kuni 2025 detsember tegevuskava'!A38&amp;"/"&amp;'kuni 2025 detsember tegevuskava'!C38</f>
        <v>RAM/RM</v>
      </c>
      <c r="C52" s="974" t="str">
        <f>'kuni 2025 detsember tegevuskava'!I38</f>
        <v>E-ITS on rakendamata RMs ja RTKs</v>
      </c>
      <c r="D52" s="977" t="str">
        <f>'kuni 2025 detsember tegevuskava'!J38</f>
        <v>Üleminek E-ITS-le (ettevalmistav kaardistus ja analüüs ja auditid) RM-is ja RTK-s</v>
      </c>
      <c r="E52" s="977" t="str">
        <f>'kuni 2025 detsember tegevuskava'!K38</f>
        <v>2024. a tulemus: 
E-ITS rakendamiseks vajalike tööde läbiviimiseks hangitakse E-ITS rakendamise konsultatsiooniteenus. Hankelepingu täitmise tulemusena valmib E-ITS infoturvameetmete rakendamise plaan (IMR) ning täidetakse asutustes ülejäänud vajalikud eeldused E-ITS eel- ja põhiauditi läbimiseks. Hankelepinguga kaetakse tegevused sarnaselt nii RAM-is kui ka RTK-s.
2025. a tulemus: Jätkatakse töid 2024.a sõlmitud lepingu alusel. Eraldi hangitakse teenus (audiitor) E-ITS 3.a audititsükli täitmiseks ning aasta lõpuks viiakse läbi E-ITS eel- ja põhiaudit.
Tegevused viiakse läbi sarnaselt nii RAM-is kui ka RTK-s.
2026. a tulemus: 2025.a kokkulepitud 3a audititsükli sees tellitakse audiitorilt E-ITS vaheaudit nii RAM-is kui ka RTK-s.
2027. a tulemus: 2025.a kokkulepitud 3a audititsükli sees tellitakse audiitorilt E-ITS vaheaudit nii RAM-is kui ka RTK-s.</v>
      </c>
      <c r="F52" s="980" t="str">
        <f>'kuni 2025 detsember tegevuskava'!P38&amp;""</f>
        <v>SF 21-27 (taotletav raha)</v>
      </c>
      <c r="G52" s="871" cm="1">
        <f t="array" ref="G52">_xlfn.IFS('kuni 2025 detsember tegevuskava'!G38='kuni 2025 detsember tegevuskava'!$G$61,1,'kuni 2025 detsember tegevuskava'!G38='kuni 2025 detsember tegevuskava'!$G$62,2,'kuni 2025 detsember tegevuskava'!G38='kuni 2025 detsember tegevuskava'!$G$63,3,'kuni 2025 detsember tegevuskava'!G38='kuni 2025 detsember tegevuskava'!$G$64,4)</f>
        <v>2</v>
      </c>
      <c r="H52" s="167" cm="1">
        <f t="array" ref="H52">_xlfn.IFS(OR('kuni 2025 detsember tegevuskava'!P38='kuni 2025 detsember tegevuskava'!$P$61,'kuni 2025 detsember tegevuskava'!P38='kuni 2025 detsember tegevuskava'!$P$63,'kuni 2025 detsember tegevuskava'!P38='kuni 2025 detsember tegevuskava'!$P$64,'kuni 2025 detsember tegevuskava'!P38='kuni 2025 detsember tegevuskava'!$P$65),1,'kuni 2025 detsember tegevuskava'!P38='kuni 2025 detsember tegevuskava'!$P$66,2,'kuni 2025 detsember tegevuskava'!P38='kuni 2025 detsember tegevuskava'!$P$67,2,'kuni 2025 detsember tegevuskava'!P38='kuni 2025 detsember tegevuskava'!$P$62,3)</f>
        <v>2</v>
      </c>
      <c r="I52" s="125">
        <f>SUM(I53:I53)</f>
        <v>310000</v>
      </c>
      <c r="J52" s="59"/>
      <c r="K52" s="125">
        <f>SUM(K53:K53)</f>
        <v>0</v>
      </c>
      <c r="L52" s="60"/>
      <c r="M52" s="125">
        <f>SUM(M53:M53)</f>
        <v>60000</v>
      </c>
      <c r="N52" s="61"/>
      <c r="O52" s="58">
        <f>SUM(O53:O53)</f>
        <v>250000</v>
      </c>
      <c r="P52" s="62"/>
    </row>
    <row r="53" spans="2:16" ht="17.25" x14ac:dyDescent="0.25">
      <c r="B53" s="975"/>
      <c r="C53" s="975"/>
      <c r="D53" s="978"/>
      <c r="E53" s="978"/>
      <c r="F53" s="981"/>
      <c r="G53" s="864"/>
      <c r="H53" s="867"/>
      <c r="I53" s="123">
        <f t="shared" ref="I53" si="8">SUM(K53+M53+O53)</f>
        <v>310000</v>
      </c>
      <c r="J53" s="56" t="str">
        <f>"(55)"</f>
        <v>(55)</v>
      </c>
      <c r="K53" s="57">
        <f>'kuni 2025 detsember tegevuskava'!Z38</f>
        <v>0</v>
      </c>
      <c r="L53" s="56" t="str">
        <f>"(55)"</f>
        <v>(55)</v>
      </c>
      <c r="M53" s="57">
        <f>'kuni 2025 detsember tegevuskava'!AC38</f>
        <v>60000</v>
      </c>
      <c r="N53" s="56" t="str">
        <f>"(55)"</f>
        <v>(55)</v>
      </c>
      <c r="O53" s="57">
        <f>'kuni 2025 detsember tegevuskava'!AF38</f>
        <v>250000</v>
      </c>
      <c r="P53" s="64" t="str">
        <f>"(55)"</f>
        <v>(55)</v>
      </c>
    </row>
    <row r="54" spans="2:16" ht="17.25" x14ac:dyDescent="0.25">
      <c r="B54" s="975"/>
      <c r="C54" s="975"/>
      <c r="D54" s="978"/>
      <c r="E54" s="978"/>
      <c r="F54" s="981"/>
      <c r="G54" s="864"/>
      <c r="H54" s="867"/>
      <c r="I54" s="160" t="s">
        <v>438</v>
      </c>
      <c r="J54" s="8"/>
      <c r="K54" s="8"/>
      <c r="L54" s="8"/>
      <c r="M54" s="8"/>
      <c r="N54" s="8"/>
      <c r="O54" s="8"/>
      <c r="P54" s="144"/>
    </row>
    <row r="55" spans="2:16" ht="17.25" x14ac:dyDescent="0.25">
      <c r="B55" s="975"/>
      <c r="C55" s="975"/>
      <c r="D55" s="978"/>
      <c r="E55" s="978"/>
      <c r="F55" s="981"/>
      <c r="G55" s="864"/>
      <c r="H55" s="867"/>
      <c r="I55" s="151">
        <f>SUM(I56:I56)</f>
        <v>378200</v>
      </c>
      <c r="J55" s="53"/>
      <c r="K55" s="151">
        <f>SUM(K56:K56)</f>
        <v>0</v>
      </c>
      <c r="L55" s="54"/>
      <c r="M55" s="151">
        <f>SUM(M56:M56)</f>
        <v>73200</v>
      </c>
      <c r="N55" s="98"/>
      <c r="O55" s="151">
        <f>SUM(O56:O56)</f>
        <v>305000</v>
      </c>
      <c r="P55" s="120"/>
    </row>
    <row r="56" spans="2:16" ht="262.5" customHeight="1" thickBot="1" x14ac:dyDescent="0.3">
      <c r="B56" s="976"/>
      <c r="C56" s="975"/>
      <c r="D56" s="978"/>
      <c r="E56" s="978"/>
      <c r="F56" s="981"/>
      <c r="G56" s="864"/>
      <c r="H56" s="867"/>
      <c r="I56" s="123">
        <f t="shared" ref="I56" si="9">SUM(K56+M56+O56)</f>
        <v>378200</v>
      </c>
      <c r="J56" s="114" t="str">
        <f>"(55)"</f>
        <v>(55)</v>
      </c>
      <c r="K56" s="55">
        <f>SUM(K53*1.2)</f>
        <v>0</v>
      </c>
      <c r="L56" s="114" t="str">
        <f>"(55)"</f>
        <v>(55)</v>
      </c>
      <c r="M56" s="55">
        <f>SUM(M53*1.22)</f>
        <v>73200</v>
      </c>
      <c r="N56" s="114" t="str">
        <f>"(55)"</f>
        <v>(55)</v>
      </c>
      <c r="O56" s="55">
        <f>SUM(O53*1.22)</f>
        <v>305000</v>
      </c>
      <c r="P56" s="63" t="str">
        <f>"(55)"</f>
        <v>(55)</v>
      </c>
    </row>
    <row r="57" spans="2:16" ht="17.25" x14ac:dyDescent="0.25">
      <c r="B57" s="974" t="str">
        <f>'kuni 2025 detsember tegevuskava'!A39&amp;"/"&amp;'kuni 2025 detsember tegevuskava'!C39</f>
        <v>RAM/MTA</v>
      </c>
      <c r="C57" s="974" t="str">
        <f>'kuni 2025 detsember tegevuskava'!I39</f>
        <v>ISO/IEC 27001 nõuetele vastav infoturbe halduse süsteem on rakendamata. ISKE on MTA’s auditeeritud 2022 koondhinnanguga, et ISKE on rakendatud, auditeeritud väheolulise märkusega. Lahknevusi, mis põhjustaks keskmise või kõrge tasemega riske, auditeerimisel ei tuvastatud.</v>
      </c>
      <c r="D57" s="977" t="str">
        <f>'kuni 2025 detsember tegevuskava'!J39</f>
        <v>ISO/IEC 27001 põhise infoturbejuhtimissüsteemile ülemineku algatamine, korraldamine ja teostamine (sh käigushoid) MTA</v>
      </c>
      <c r="E57" s="977" t="str">
        <f>'kuni 2025 detsember tegevuskava'!K39</f>
        <v xml:space="preserve">2023.a tulemus: Ette on valmistatud hange ISO/IEC 27001 rakendamiseks ja selleks vajalike eeldokumentide väljatöötamiseks, kaitsetarbe määramiseks äriprotsessidele ja sihtobjektide kaitsetarbe üle vaatamiseks jms vajalikud tegevused. 
2024. a tulemus: ISO/IEC 27001 rakendamiseks vajalike tööde läbiviimine ja tulemuste valideerimine. Lõpptulemuseks on ettevalmistatud dokumentatsioon ja tegevused eelauditi tellimiseks.
2025. a tulemus: Tegevused eel- ja põhiauditi tellimine. Infoturbe käigushoid.
2026. a tulemus: Auditi käigus saadud soovituste rakendamine ning infoturbesüsteemi käigushoidmine ja parendustegevused
2027.a tulemus: Plaanilist auditeerimist ettevalmistavad tegevused sh eelauditi läbiviimine ja sellest tulenevad parendustegevused.
</v>
      </c>
      <c r="F57" s="980" t="str">
        <f>'kuni 2025 detsember tegevuskava'!P39&amp;""</f>
        <v>SF 21-27 (taotletav raha)</v>
      </c>
      <c r="G57" s="871" cm="1">
        <f t="array" ref="G57">_xlfn.IFS('kuni 2025 detsember tegevuskava'!G39='kuni 2025 detsember tegevuskava'!$G$61,1,'kuni 2025 detsember tegevuskava'!G39='kuni 2025 detsember tegevuskava'!$G$62,2,'kuni 2025 detsember tegevuskava'!G39='kuni 2025 detsember tegevuskava'!$G$63,3,'kuni 2025 detsember tegevuskava'!G39='kuni 2025 detsember tegevuskava'!$G$64,4)</f>
        <v>2</v>
      </c>
      <c r="H57" s="167" cm="1">
        <f t="array" ref="H57">_xlfn.IFS(OR('kuni 2025 detsember tegevuskava'!P39='kuni 2025 detsember tegevuskava'!$P$61,'kuni 2025 detsember tegevuskava'!P39='kuni 2025 detsember tegevuskava'!$P$63,'kuni 2025 detsember tegevuskava'!P39='kuni 2025 detsember tegevuskava'!$P$64,'kuni 2025 detsember tegevuskava'!P39='kuni 2025 detsember tegevuskava'!$P$65),1,'kuni 2025 detsember tegevuskava'!P39='kuni 2025 detsember tegevuskava'!$P$66,2,'kuni 2025 detsember tegevuskava'!P39='kuni 2025 detsember tegevuskava'!$P$67,2,'kuni 2025 detsember tegevuskava'!P39='kuni 2025 detsember tegevuskava'!$P$62,3)</f>
        <v>2</v>
      </c>
      <c r="I57" s="118">
        <f>SUM(I58:I59)</f>
        <v>368000</v>
      </c>
      <c r="J57" s="119"/>
      <c r="K57" s="74">
        <f>SUM(K58:K59)</f>
        <v>0</v>
      </c>
      <c r="L57" s="155"/>
      <c r="M57" s="74">
        <f>SUM(M58:M59)</f>
        <v>149000</v>
      </c>
      <c r="N57" s="77"/>
      <c r="O57" s="74">
        <f>SUM(O58:O59)</f>
        <v>219000</v>
      </c>
      <c r="P57" s="78"/>
    </row>
    <row r="58" spans="2:16" ht="17.25" x14ac:dyDescent="0.25">
      <c r="B58" s="975"/>
      <c r="C58" s="975"/>
      <c r="D58" s="978"/>
      <c r="E58" s="978"/>
      <c r="F58" s="981"/>
      <c r="G58" s="864"/>
      <c r="H58" s="867"/>
      <c r="I58" s="93">
        <f>SUM(K58+M58+O58)</f>
        <v>198000</v>
      </c>
      <c r="J58" s="873" t="str">
        <f>"(50)"</f>
        <v>(50)</v>
      </c>
      <c r="K58" s="79">
        <f>'kuni 2025 detsember tegevuskava'!Y39</f>
        <v>0</v>
      </c>
      <c r="L58" s="873" t="str">
        <f>"(50)"</f>
        <v>(50)</v>
      </c>
      <c r="M58" s="79">
        <f>'kuni 2025 detsember tegevuskava'!AB39</f>
        <v>99000</v>
      </c>
      <c r="N58" s="873" t="str">
        <f>"(50)"</f>
        <v>(50)</v>
      </c>
      <c r="O58" s="79">
        <f>'kuni 2025 detsember tegevuskava'!AE39</f>
        <v>99000</v>
      </c>
      <c r="P58" s="80" t="str">
        <f>"(50)"</f>
        <v>(50)</v>
      </c>
    </row>
    <row r="59" spans="2:16" ht="17.25" x14ac:dyDescent="0.25">
      <c r="B59" s="975"/>
      <c r="C59" s="975"/>
      <c r="D59" s="978"/>
      <c r="E59" s="978"/>
      <c r="F59" s="981"/>
      <c r="G59" s="864"/>
      <c r="H59" s="867"/>
      <c r="I59" s="93">
        <f>SUM(K59+M59+O59)</f>
        <v>170000</v>
      </c>
      <c r="J59" s="81" t="str">
        <f>"(55)"</f>
        <v>(55)</v>
      </c>
      <c r="K59" s="82">
        <f>'kuni 2025 detsember tegevuskava'!Z39</f>
        <v>0</v>
      </c>
      <c r="L59" s="81" t="str">
        <f>"(55)"</f>
        <v>(55)</v>
      </c>
      <c r="M59" s="82">
        <f>'kuni 2025 detsember tegevuskava'!AC39</f>
        <v>50000</v>
      </c>
      <c r="N59" s="81" t="str">
        <f>"(55)"</f>
        <v>(55)</v>
      </c>
      <c r="O59" s="82">
        <f>'kuni 2025 detsember tegevuskava'!AF39</f>
        <v>120000</v>
      </c>
      <c r="P59" s="83" t="str">
        <f>"(55)"</f>
        <v>(55)</v>
      </c>
    </row>
    <row r="60" spans="2:16" ht="17.25" x14ac:dyDescent="0.25">
      <c r="B60" s="975"/>
      <c r="C60" s="975"/>
      <c r="D60" s="978"/>
      <c r="E60" s="978"/>
      <c r="F60" s="981"/>
      <c r="G60" s="864"/>
      <c r="H60" s="867"/>
      <c r="I60" s="160" t="s">
        <v>438</v>
      </c>
      <c r="J60" s="8"/>
      <c r="K60" s="8"/>
      <c r="L60" s="8"/>
      <c r="M60" s="8"/>
      <c r="N60" s="8"/>
      <c r="O60" s="8"/>
      <c r="P60" s="144"/>
    </row>
    <row r="61" spans="2:16" ht="17.25" x14ac:dyDescent="0.25">
      <c r="B61" s="975"/>
      <c r="C61" s="975"/>
      <c r="D61" s="978"/>
      <c r="E61" s="978"/>
      <c r="F61" s="981"/>
      <c r="G61" s="864"/>
      <c r="H61" s="867"/>
      <c r="I61" s="153">
        <f>SUM(I62:I63)</f>
        <v>405400</v>
      </c>
      <c r="J61" s="154"/>
      <c r="K61" s="84">
        <f>SUM(K62:K63)</f>
        <v>0</v>
      </c>
      <c r="L61" s="156"/>
      <c r="M61" s="84">
        <f>SUM(M62:M63)</f>
        <v>160000</v>
      </c>
      <c r="N61" s="98"/>
      <c r="O61" s="153">
        <f>SUM(O62:O63)</f>
        <v>245400</v>
      </c>
      <c r="P61" s="120"/>
    </row>
    <row r="62" spans="2:16" ht="17.25" x14ac:dyDescent="0.25">
      <c r="B62" s="975"/>
      <c r="C62" s="975"/>
      <c r="D62" s="978"/>
      <c r="E62" s="978"/>
      <c r="F62" s="981"/>
      <c r="G62" s="864"/>
      <c r="H62" s="867"/>
      <c r="I62" s="93">
        <f>SUM(K62+M62+O62)</f>
        <v>198000</v>
      </c>
      <c r="J62" s="873" t="str">
        <f>"(50)"</f>
        <v>(50)</v>
      </c>
      <c r="K62" s="79">
        <f>K58</f>
        <v>0</v>
      </c>
      <c r="L62" s="873" t="str">
        <f>"(50)"</f>
        <v>(50)</v>
      </c>
      <c r="M62" s="79">
        <f>M58</f>
        <v>99000</v>
      </c>
      <c r="N62" s="873" t="str">
        <f>"(50)"</f>
        <v>(50)</v>
      </c>
      <c r="O62" s="79">
        <f>O58</f>
        <v>99000</v>
      </c>
      <c r="P62" s="80" t="str">
        <f>"(50)"</f>
        <v>(50)</v>
      </c>
    </row>
    <row r="63" spans="2:16" ht="162" customHeight="1" thickBot="1" x14ac:dyDescent="0.3">
      <c r="B63" s="976"/>
      <c r="C63" s="976"/>
      <c r="D63" s="979"/>
      <c r="E63" s="979"/>
      <c r="F63" s="982"/>
      <c r="G63" s="869"/>
      <c r="H63" s="166"/>
      <c r="I63" s="116">
        <f>SUM(K63+M63+O63)</f>
        <v>207400</v>
      </c>
      <c r="J63" s="87" t="str">
        <f>"(55)"</f>
        <v>(55)</v>
      </c>
      <c r="K63" s="88">
        <f>SUM(K59*1.2)</f>
        <v>0</v>
      </c>
      <c r="L63" s="87" t="str">
        <f>"(55)"</f>
        <v>(55)</v>
      </c>
      <c r="M63" s="88">
        <f>SUM(M59*1.22)</f>
        <v>61000</v>
      </c>
      <c r="N63" s="87" t="str">
        <f>"(55)"</f>
        <v>(55)</v>
      </c>
      <c r="O63" s="88">
        <f>SUM(O59*1.22)</f>
        <v>146400</v>
      </c>
      <c r="P63" s="89" t="str">
        <f>"(55)"</f>
        <v>(55)</v>
      </c>
    </row>
    <row r="64" spans="2:16" ht="17.25" x14ac:dyDescent="0.25">
      <c r="B64" s="974" t="str">
        <f>'kuni 2025 detsember tegevuskava'!A40&amp;"/"&amp;'kuni 2025 detsember tegevuskava'!C40</f>
        <v>RAM/RAB</v>
      </c>
      <c r="C64" s="974" t="str">
        <f>'kuni 2025 detsember tegevuskava'!I40</f>
        <v>ISO/IEC 27001 või E-ITS infoturbestandardi nõuetele vastav infoturbe halduse süsteem on rakendamata. 2022.a läbiviidud ISKE auditi raport andis hinnangu, et  ISKE on rakendatud, kuid audiitor lisas mõningad märkused ja soovitused.</v>
      </c>
      <c r="D64" s="977" t="str">
        <f>'kuni 2025 detsember tegevuskava'!J40</f>
        <v>Üleminek E-ITS-le (ettevalmistav kaardistus, analüüs ja auditid) RAB-is</v>
      </c>
      <c r="E64" s="977" t="str">
        <f>'kuni 2025 detsember tegevuskava'!K40</f>
        <v>2023.a tulemus: Ette on valmistatud E-ITS rakendamise üldine plaan ja hankekirjeldus E-ITS rakendamiseks vajalike (eel) dokumentide väljatöötamiseks, kaitsetarbe määramiseks äriprotsessidele ja sihtobjektide kaitsetarbe üle vaatamiseks jms vajalikud tegevused. 
2024. a tulemus: Hanke väljakuulutamine ja hankekirjelduse alusel E-ITS rakendamiseks vajalike tööde läbiviimine ja tulemuste valideerimine. Lõpptulemuseks on ettevalmistatud dokumentatsioon ja tegevused E-ITS eelauditi tellimiseks.
2025. a tulemus: Hanked E-ITS eel- ja põhiauditi läbiviimiseks. E-ITS rakendamise põhiauditi aruanne on üle antud.  
2026. a tulemus: Soovituste rakendamine.
2027. a tulemus: Infoturbe käigushoid ja täiustamine, vaheaudit.</v>
      </c>
      <c r="F64" s="980" t="str">
        <f>'kuni 2025 detsember tegevuskava'!P40&amp;""</f>
        <v>SF 21-27 (taotletav raha)</v>
      </c>
      <c r="G64" s="871" cm="1">
        <f t="array" ref="G64">_xlfn.IFS('kuni 2025 detsember tegevuskava'!G40='kuni 2025 detsember tegevuskava'!$G$61,1,'kuni 2025 detsember tegevuskava'!G40='kuni 2025 detsember tegevuskava'!$G$62,2,'kuni 2025 detsember tegevuskava'!G40='kuni 2025 detsember tegevuskava'!$G$63,3,'kuni 2025 detsember tegevuskava'!G40='kuni 2025 detsember tegevuskava'!$G$64,4)</f>
        <v>2</v>
      </c>
      <c r="H64" s="167" cm="1">
        <f t="array" ref="H64">_xlfn.IFS(OR('kuni 2025 detsember tegevuskava'!P40='kuni 2025 detsember tegevuskava'!$P$61,'kuni 2025 detsember tegevuskava'!P40='kuni 2025 detsember tegevuskava'!$P$63,'kuni 2025 detsember tegevuskava'!P40='kuni 2025 detsember tegevuskava'!$P$64,'kuni 2025 detsember tegevuskava'!P40='kuni 2025 detsember tegevuskava'!$P$65),1,'kuni 2025 detsember tegevuskava'!P40='kuni 2025 detsember tegevuskava'!$P$66,2,'kuni 2025 detsember tegevuskava'!P40='kuni 2025 detsember tegevuskava'!$P$67,2,'kuni 2025 detsember tegevuskava'!P40='kuni 2025 detsember tegevuskava'!$P$62,3)</f>
        <v>2</v>
      </c>
      <c r="I64" s="118">
        <f>SUM(I65:I65)</f>
        <v>70000</v>
      </c>
      <c r="J64" s="75"/>
      <c r="K64" s="118">
        <f>SUM(K65:K65)</f>
        <v>0</v>
      </c>
      <c r="L64" s="76"/>
      <c r="M64" s="118">
        <f>SUM(M65:M65)</f>
        <v>20000</v>
      </c>
      <c r="N64" s="77"/>
      <c r="O64" s="74">
        <f>SUM(O65:O65)</f>
        <v>50000</v>
      </c>
      <c r="P64" s="78"/>
    </row>
    <row r="65" spans="2:16" ht="17.25" x14ac:dyDescent="0.25">
      <c r="B65" s="975"/>
      <c r="C65" s="975"/>
      <c r="D65" s="978"/>
      <c r="E65" s="978"/>
      <c r="F65" s="981"/>
      <c r="G65" s="864"/>
      <c r="H65" s="867"/>
      <c r="I65" s="93">
        <f>SUM(K65+M65+O65)</f>
        <v>70000</v>
      </c>
      <c r="J65" s="81" t="str">
        <f>"(55)"</f>
        <v>(55)</v>
      </c>
      <c r="K65" s="82">
        <f>'kuni 2025 detsember tegevuskava'!Z40</f>
        <v>0</v>
      </c>
      <c r="L65" s="81" t="str">
        <f>"(55)"</f>
        <v>(55)</v>
      </c>
      <c r="M65" s="82">
        <f>'kuni 2025 detsember tegevuskava'!AC40</f>
        <v>20000</v>
      </c>
      <c r="N65" s="81" t="str">
        <f>"(55)"</f>
        <v>(55)</v>
      </c>
      <c r="O65" s="82">
        <f>'kuni 2025 detsember tegevuskava'!AF40</f>
        <v>50000</v>
      </c>
      <c r="P65" s="83" t="str">
        <f>"(55)"</f>
        <v>(55)</v>
      </c>
    </row>
    <row r="66" spans="2:16" ht="17.25" x14ac:dyDescent="0.25">
      <c r="B66" s="975"/>
      <c r="C66" s="975"/>
      <c r="D66" s="978"/>
      <c r="E66" s="978"/>
      <c r="F66" s="981"/>
      <c r="G66" s="864"/>
      <c r="H66" s="867"/>
      <c r="I66" s="161" t="s">
        <v>438</v>
      </c>
      <c r="J66" s="8"/>
      <c r="K66" s="8"/>
      <c r="L66" s="8"/>
      <c r="M66" s="8"/>
      <c r="N66" s="8"/>
      <c r="O66" s="8"/>
      <c r="P66" s="144"/>
    </row>
    <row r="67" spans="2:16" ht="17.25" x14ac:dyDescent="0.25">
      <c r="B67" s="975"/>
      <c r="C67" s="975"/>
      <c r="D67" s="978"/>
      <c r="E67" s="978"/>
      <c r="F67" s="981"/>
      <c r="G67" s="864"/>
      <c r="H67" s="867"/>
      <c r="I67" s="159">
        <f>SUM(I68:I68)</f>
        <v>85400</v>
      </c>
      <c r="J67" s="154"/>
      <c r="K67" s="84">
        <f>SUM(K68:K68)</f>
        <v>0</v>
      </c>
      <c r="L67" s="85"/>
      <c r="M67" s="153">
        <f>SUM(M68:M68)</f>
        <v>24400</v>
      </c>
      <c r="N67" s="98"/>
      <c r="O67" s="153">
        <f>SUM(O68:O68)</f>
        <v>61000</v>
      </c>
      <c r="P67" s="120"/>
    </row>
    <row r="68" spans="2:16" ht="210" customHeight="1" thickBot="1" x14ac:dyDescent="0.3">
      <c r="B68" s="976"/>
      <c r="C68" s="976"/>
      <c r="D68" s="979"/>
      <c r="E68" s="979"/>
      <c r="F68" s="982"/>
      <c r="G68" s="869"/>
      <c r="H68" s="166"/>
      <c r="I68" s="116">
        <f>SUM(K68+M68+O68)</f>
        <v>85400</v>
      </c>
      <c r="J68" s="87" t="str">
        <f>"(55)"</f>
        <v>(55)</v>
      </c>
      <c r="K68" s="88">
        <f>SUM(K65*1.2)</f>
        <v>0</v>
      </c>
      <c r="L68" s="87" t="str">
        <f>"(55)"</f>
        <v>(55)</v>
      </c>
      <c r="M68" s="88">
        <f>SUM(M65*1.22)</f>
        <v>24400</v>
      </c>
      <c r="N68" s="87" t="str">
        <f>"(55)"</f>
        <v>(55)</v>
      </c>
      <c r="O68" s="88">
        <f>SUM(O65*1.22)</f>
        <v>61000</v>
      </c>
      <c r="P68" s="89" t="str">
        <f>"(55)"</f>
        <v>(55)</v>
      </c>
    </row>
    <row r="69" spans="2:16" ht="17.25" x14ac:dyDescent="0.25">
      <c r="B69" s="974" t="str">
        <f>'kuni 2025 detsember tegevuskava'!A41&amp;"/"&amp;'kuni 2025 detsember tegevuskava'!C41</f>
        <v>RAM/RMIT</v>
      </c>
      <c r="C69" s="974" t="str">
        <f>'kuni 2025 detsember tegevuskava'!I41</f>
        <v>ISO/IEC 27001 nõuetele vastav infoturbe halduse süsteem on rakendamata. E-ITS/ISO sertifitseerimiseks vajalikud kulud</v>
      </c>
      <c r="D69" s="977" t="str">
        <f>'kuni 2025 detsember tegevuskava'!J41</f>
        <v>ISO 27001 põhise infoturbejuhtimissüsteemile ülemineku algatamine, korraldamine ja teostamine (sh käigushoid) RMIT-is</v>
      </c>
      <c r="E69" s="977" t="str">
        <f>'kuni 2025 detsember tegevuskava'!K41</f>
        <v>2023.a tulemus: -
2024.a tulemus: koostatud on ISO/IEC 27001 siseauditi programm ja aastaplaan ajaperioodiks 2024-2026, on teostatud esimesed siseauditid.
2025.a tulemus: planeeritud siseauditid on teostatud, protsessid on ISO/IEC 27001 vastavuses ja sertifitseeritud.
2026. a tulemus: planeeritud siseauditid ja korraline järelevalveaudit on teostatud, infoturbe käigushoid ja täiustamine.
2027. a tulemus: korraline järelevalve audit on teostatud, infoturbe käigushoid ja täiustamine.</v>
      </c>
      <c r="F69" s="980" t="str">
        <f>'kuni 2025 detsember tegevuskava'!P41&amp;""</f>
        <v>SF 21-27 (taotletav raha)</v>
      </c>
      <c r="G69" s="871" cm="1">
        <f t="array" ref="G69">_xlfn.IFS('kuni 2025 detsember tegevuskava'!G41='kuni 2025 detsember tegevuskava'!$G$61,1,'kuni 2025 detsember tegevuskava'!G41='kuni 2025 detsember tegevuskava'!$G$62,2,'kuni 2025 detsember tegevuskava'!G41='kuni 2025 detsember tegevuskava'!$G$63,3,'kuni 2025 detsember tegevuskava'!G41='kuni 2025 detsember tegevuskava'!$G$64,4)</f>
        <v>2</v>
      </c>
      <c r="H69" s="167" cm="1">
        <f t="array" ref="H69">_xlfn.IFS(OR('kuni 2025 detsember tegevuskava'!P41='kuni 2025 detsember tegevuskava'!$P$61,'kuni 2025 detsember tegevuskava'!P41='kuni 2025 detsember tegevuskava'!$P$63,'kuni 2025 detsember tegevuskava'!P41='kuni 2025 detsember tegevuskava'!$P$64,'kuni 2025 detsember tegevuskava'!P41='kuni 2025 detsember tegevuskava'!$P$65),1,'kuni 2025 detsember tegevuskava'!P41='kuni 2025 detsember tegevuskava'!$P$66,2,'kuni 2025 detsember tegevuskava'!P41='kuni 2025 detsember tegevuskava'!$P$67,2,'kuni 2025 detsember tegevuskava'!P41='kuni 2025 detsember tegevuskava'!$P$62,3)</f>
        <v>2</v>
      </c>
      <c r="I69" s="118">
        <f>SUM(I70:I70)</f>
        <v>133000</v>
      </c>
      <c r="J69" s="75"/>
      <c r="K69" s="118">
        <f>SUM(K70:K70)</f>
        <v>0</v>
      </c>
      <c r="L69" s="76"/>
      <c r="M69" s="118">
        <f>SUM(M70:M70)</f>
        <v>13000</v>
      </c>
      <c r="N69" s="77"/>
      <c r="O69" s="74">
        <f>SUM(O70:O70)</f>
        <v>120000</v>
      </c>
      <c r="P69" s="78"/>
    </row>
    <row r="70" spans="2:16" ht="17.25" x14ac:dyDescent="0.25">
      <c r="B70" s="975"/>
      <c r="C70" s="975"/>
      <c r="D70" s="978"/>
      <c r="E70" s="978"/>
      <c r="F70" s="981"/>
      <c r="G70" s="864"/>
      <c r="H70" s="867"/>
      <c r="I70" s="95">
        <f>SUM(K70+M70+O70)</f>
        <v>133000</v>
      </c>
      <c r="J70" s="81" t="str">
        <f>"(55)"</f>
        <v>(55)</v>
      </c>
      <c r="K70" s="82">
        <f>'kuni 2025 detsember tegevuskava'!Z41</f>
        <v>0</v>
      </c>
      <c r="L70" s="81" t="str">
        <f>"(55)"</f>
        <v>(55)</v>
      </c>
      <c r="M70" s="82">
        <f>'kuni 2025 detsember tegevuskava'!AC41</f>
        <v>13000</v>
      </c>
      <c r="N70" s="81" t="str">
        <f>"(55)"</f>
        <v>(55)</v>
      </c>
      <c r="O70" s="82">
        <f>'kuni 2025 detsember tegevuskava'!AF41</f>
        <v>120000</v>
      </c>
      <c r="P70" s="83" t="str">
        <f>"(55)"</f>
        <v>(55)</v>
      </c>
    </row>
    <row r="71" spans="2:16" ht="17.25" x14ac:dyDescent="0.25">
      <c r="B71" s="975"/>
      <c r="C71" s="975"/>
      <c r="D71" s="978"/>
      <c r="E71" s="978"/>
      <c r="F71" s="981"/>
      <c r="G71" s="864"/>
      <c r="H71" s="867"/>
      <c r="I71" s="137" t="s">
        <v>438</v>
      </c>
      <c r="J71" s="8"/>
      <c r="K71" s="8"/>
      <c r="L71" s="8"/>
      <c r="M71" s="8"/>
      <c r="N71" s="8"/>
      <c r="O71" s="8"/>
      <c r="P71" s="144"/>
    </row>
    <row r="72" spans="2:16" ht="17.25" x14ac:dyDescent="0.25">
      <c r="B72" s="975"/>
      <c r="C72" s="975"/>
      <c r="D72" s="978"/>
      <c r="E72" s="978"/>
      <c r="F72" s="981"/>
      <c r="G72" s="864"/>
      <c r="H72" s="867"/>
      <c r="I72" s="159">
        <f>SUM(I73:I73)</f>
        <v>162260</v>
      </c>
      <c r="J72" s="99"/>
      <c r="K72" s="91">
        <f>SUM(K73:K73)</f>
        <v>0</v>
      </c>
      <c r="L72" s="100"/>
      <c r="M72" s="84">
        <f>SUM(M73:M73)</f>
        <v>15860</v>
      </c>
      <c r="N72" s="98"/>
      <c r="O72" s="153">
        <f>SUM(O73:O73)</f>
        <v>146400</v>
      </c>
      <c r="P72" s="120"/>
    </row>
    <row r="73" spans="2:16" ht="125.25" customHeight="1" thickBot="1" x14ac:dyDescent="0.3">
      <c r="B73" s="976"/>
      <c r="C73" s="976"/>
      <c r="D73" s="979"/>
      <c r="E73" s="979"/>
      <c r="F73" s="982"/>
      <c r="G73" s="869"/>
      <c r="H73" s="166"/>
      <c r="I73" s="116">
        <f>SUM(K73+M73+O73)</f>
        <v>162260</v>
      </c>
      <c r="J73" s="87" t="str">
        <f>"(55)"</f>
        <v>(55)</v>
      </c>
      <c r="K73" s="116">
        <f>SUM(K70*1.2)</f>
        <v>0</v>
      </c>
      <c r="L73" s="117" t="str">
        <f>"(55)"</f>
        <v>(55)</v>
      </c>
      <c r="M73" s="86">
        <f>SUM(M70*1.22)</f>
        <v>15860</v>
      </c>
      <c r="N73" s="87" t="str">
        <f>"(55)"</f>
        <v>(55)</v>
      </c>
      <c r="O73" s="88">
        <f>SUM(O70*1.22)</f>
        <v>146400</v>
      </c>
      <c r="P73" s="89" t="str">
        <f>"(55)"</f>
        <v>(55)</v>
      </c>
    </row>
    <row r="74" spans="2:16" ht="17.25" x14ac:dyDescent="0.25">
      <c r="B74" s="974" t="str">
        <f>'kuni 2025 detsember tegevuskava'!A42&amp;"/"&amp;'kuni 2025 detsember tegevuskava'!C42</f>
        <v>RAM/RM</v>
      </c>
      <c r="C74" s="974" t="str">
        <f>'kuni 2025 detsember tegevuskava'!I42</f>
        <v>Rahandusministeeriumis on seni puudu infoturbejuht.</v>
      </c>
      <c r="D74" s="977" t="str">
        <f>'kuni 2025 detsember tegevuskava'!J42</f>
        <v>Infoturbe valdkonna võimekuse suurendamine RAMis (infoturbejuhi värbamine)</v>
      </c>
      <c r="E74" s="977" t="str">
        <f>'kuni 2025 detsember tegevuskava'!K42</f>
        <v xml:space="preserve">2023.a tulemus: Infoturbejuht on palgatud. Infoturvapoliitika on RMV kehtestatud.
2024:  E-ITS infoturvameetmete rakendamise eeldused on Rmis täidetud; 
</v>
      </c>
      <c r="F74" s="980" t="str">
        <f>'kuni 2025 detsember tegevuskava'!P42&amp;""</f>
        <v>SF 21-27 (taotletav raha)</v>
      </c>
      <c r="G74" s="871" cm="1">
        <f t="array" ref="G74">_xlfn.IFS('kuni 2025 detsember tegevuskava'!G42='kuni 2025 detsember tegevuskava'!$G$61,1,'kuni 2025 detsember tegevuskava'!G42='kuni 2025 detsember tegevuskava'!$G$62,2,'kuni 2025 detsember tegevuskava'!G42='kuni 2025 detsember tegevuskava'!$G$63,3,'kuni 2025 detsember tegevuskava'!G42='kuni 2025 detsember tegevuskava'!$G$64,4)</f>
        <v>2</v>
      </c>
      <c r="H74" s="167" cm="1">
        <f t="array" ref="H74">_xlfn.IFS(OR('kuni 2025 detsember tegevuskava'!P42='kuni 2025 detsember tegevuskava'!$P$61,'kuni 2025 detsember tegevuskava'!P42='kuni 2025 detsember tegevuskava'!$P$63,'kuni 2025 detsember tegevuskava'!P42='kuni 2025 detsember tegevuskava'!$P$64,'kuni 2025 detsember tegevuskava'!P42='kuni 2025 detsember tegevuskava'!$P$65),1,'kuni 2025 detsember tegevuskava'!P42='kuni 2025 detsember tegevuskava'!$P$66,2,'kuni 2025 detsember tegevuskava'!P42='kuni 2025 detsember tegevuskava'!$P$67,2,'kuni 2025 detsember tegevuskava'!P42='kuni 2025 detsember tegevuskava'!$P$62,3)</f>
        <v>2</v>
      </c>
      <c r="I74" s="118">
        <f>SUM(I75:I75)</f>
        <v>27000</v>
      </c>
      <c r="J74" s="119"/>
      <c r="K74" s="74">
        <f>SUM(K75:K75)</f>
        <v>21000</v>
      </c>
      <c r="L74" s="76"/>
      <c r="M74" s="118">
        <f>SUM(M75:M75)</f>
        <v>6000</v>
      </c>
      <c r="N74" s="119"/>
      <c r="O74" s="74">
        <f>SUM(O75:O75)</f>
        <v>0</v>
      </c>
      <c r="P74" s="78"/>
    </row>
    <row r="75" spans="2:16" ht="17.25" x14ac:dyDescent="0.25">
      <c r="B75" s="975"/>
      <c r="C75" s="975"/>
      <c r="D75" s="978"/>
      <c r="E75" s="978"/>
      <c r="F75" s="981"/>
      <c r="G75" s="864"/>
      <c r="H75" s="867"/>
      <c r="I75" s="93">
        <f>SUM(K75+M75+O75)</f>
        <v>27000</v>
      </c>
      <c r="J75" s="94" t="str">
        <f>"(50)"</f>
        <v>(50)</v>
      </c>
      <c r="K75" s="874">
        <f>'kuni 2025 detsember tegevuskava'!Y42</f>
        <v>21000</v>
      </c>
      <c r="L75" s="873" t="str">
        <f>"(50)"</f>
        <v>(50)</v>
      </c>
      <c r="M75" s="93">
        <f>'kuni 2025 detsember tegevuskava'!AB42</f>
        <v>6000</v>
      </c>
      <c r="N75" s="94" t="str">
        <f>"(50)"</f>
        <v>(50)</v>
      </c>
      <c r="O75" s="874">
        <f>'kuni 2025 detsember tegevuskava'!AE42</f>
        <v>0</v>
      </c>
      <c r="P75" s="80" t="str">
        <f>"(50)"</f>
        <v>(50)</v>
      </c>
    </row>
    <row r="76" spans="2:16" ht="17.25" x14ac:dyDescent="0.25">
      <c r="B76" s="975"/>
      <c r="C76" s="975"/>
      <c r="D76" s="978"/>
      <c r="E76" s="978"/>
      <c r="F76" s="981"/>
      <c r="G76" s="864"/>
      <c r="H76" s="867"/>
      <c r="I76" s="122" t="s">
        <v>438</v>
      </c>
      <c r="J76" s="855"/>
      <c r="K76" s="855"/>
      <c r="L76" s="855"/>
      <c r="M76" s="855"/>
      <c r="N76" s="855"/>
      <c r="O76" s="855"/>
      <c r="P76" s="872"/>
    </row>
    <row r="77" spans="2:16" ht="17.25" x14ac:dyDescent="0.25">
      <c r="B77" s="975"/>
      <c r="C77" s="975"/>
      <c r="D77" s="978"/>
      <c r="E77" s="978"/>
      <c r="F77" s="981"/>
      <c r="G77" s="864"/>
      <c r="H77" s="867"/>
      <c r="I77" s="159">
        <f>SUM(I78:I78)</f>
        <v>27000</v>
      </c>
      <c r="J77" s="94"/>
      <c r="K77" s="858">
        <f>SUM(K78:K78)</f>
        <v>21000</v>
      </c>
      <c r="L77" s="859"/>
      <c r="M77" s="159">
        <f>SUM(M78:M78)</f>
        <v>6000</v>
      </c>
      <c r="O77" s="159">
        <f>SUM(O78:O78)</f>
        <v>0</v>
      </c>
      <c r="P77" s="857"/>
    </row>
    <row r="78" spans="2:16" ht="18" thickBot="1" x14ac:dyDescent="0.3">
      <c r="B78" s="975"/>
      <c r="C78" s="976"/>
      <c r="D78" s="979"/>
      <c r="E78" s="979"/>
      <c r="F78" s="982"/>
      <c r="G78" s="869"/>
      <c r="H78" s="166"/>
      <c r="I78" s="116">
        <f>SUM(K78+M78+O78)</f>
        <v>27000</v>
      </c>
      <c r="J78" s="117" t="str">
        <f>"(50)"</f>
        <v>(50)</v>
      </c>
      <c r="K78" s="86">
        <f>K75</f>
        <v>21000</v>
      </c>
      <c r="L78" s="87" t="str">
        <f>"(50)"</f>
        <v>(50)</v>
      </c>
      <c r="M78" s="116">
        <f>M75</f>
        <v>6000</v>
      </c>
      <c r="N78" s="87" t="str">
        <f>"(50)"</f>
        <v>(50)</v>
      </c>
      <c r="O78" s="116">
        <f>O75</f>
        <v>0</v>
      </c>
      <c r="P78" s="89" t="str">
        <f>"(50)"</f>
        <v>(50)</v>
      </c>
    </row>
    <row r="79" spans="2:16" ht="17.25" x14ac:dyDescent="0.25">
      <c r="B79" s="974" t="str">
        <f>'kuni 2025 detsember tegevuskava'!A43&amp;"/"&amp;'kuni 2025 detsember tegevuskava'!C43</f>
        <v>RAM/RTK</v>
      </c>
      <c r="C79" s="974" t="str">
        <f>'kuni 2025 detsember tegevuskava'!I43</f>
        <v>RTK-s on seni puudu infoturbejuht.</v>
      </c>
      <c r="D79" s="977" t="str">
        <f>'kuni 2025 detsember tegevuskava'!J43</f>
        <v>Infoturbe valdkonna võimekuse suurendamine RTKs (infoturbejuhi värbamine)</v>
      </c>
      <c r="E79" s="977" t="str">
        <f>'kuni 2025 detsember tegevuskava'!K43</f>
        <v>2023.a tulemus: -
2024.a tulemus: RTK-sse infoturbespetsialist on värvatud
RTK E-ITS rakendamise eeltegevused. RTK infoturbe juhtimise süsteemi väljatöötamine. RTK töötajate koolitamine
2025: RTK- E-ITS eelauditi ja täisauditi läbiviimine. RTK infoturbe juhtimise süsteemi rakendamine/täiendamine. RTK töötajate koolitamine
2026: RTK infoturbe juhtimise süsteemi rakendamine/täiendamine. RTK töötajate koolitamine</v>
      </c>
      <c r="F79" s="980" t="str">
        <f>'kuni 2025 detsember tegevuskava'!P43&amp;""</f>
        <v>SF 21-27 (taotletav raha)</v>
      </c>
      <c r="G79" s="871" cm="1">
        <f t="array" ref="G79">_xlfn.IFS('kuni 2025 detsember tegevuskava'!G43='kuni 2025 detsember tegevuskava'!$G$61,1,'kuni 2025 detsember tegevuskava'!G43='kuni 2025 detsember tegevuskava'!$G$62,2,'kuni 2025 detsember tegevuskava'!G43='kuni 2025 detsember tegevuskava'!$G$63,3,'kuni 2025 detsember tegevuskava'!G43='kuni 2025 detsember tegevuskava'!$G$64,4)</f>
        <v>2</v>
      </c>
      <c r="H79" s="167" cm="1">
        <f t="array" ref="H79">_xlfn.IFS(OR('kuni 2025 detsember tegevuskava'!P43='kuni 2025 detsember tegevuskava'!$P$61,'kuni 2025 detsember tegevuskava'!P43='kuni 2025 detsember tegevuskava'!$P$63,'kuni 2025 detsember tegevuskava'!P43='kuni 2025 detsember tegevuskava'!$P$64,'kuni 2025 detsember tegevuskava'!P43='kuni 2025 detsember tegevuskava'!$P$65),1,'kuni 2025 detsember tegevuskava'!P43='kuni 2025 detsember tegevuskava'!$P$66,2,'kuni 2025 detsember tegevuskava'!P43='kuni 2025 detsember tegevuskava'!$P$67,2,'kuni 2025 detsember tegevuskava'!P43='kuni 2025 detsember tegevuskava'!$P$62,3)</f>
        <v>2</v>
      </c>
      <c r="I79" s="118">
        <f>SUM(I80:I80)</f>
        <v>93808</v>
      </c>
      <c r="J79" s="119"/>
      <c r="K79" s="74">
        <f>SUM(K80:K80)</f>
        <v>0</v>
      </c>
      <c r="L79" s="76"/>
      <c r="M79" s="118">
        <f>SUM(M80:M80)</f>
        <v>45760</v>
      </c>
      <c r="N79" s="119"/>
      <c r="O79" s="74">
        <f>SUM(O80:O80)</f>
        <v>48048</v>
      </c>
      <c r="P79" s="78"/>
    </row>
    <row r="80" spans="2:16" ht="17.25" x14ac:dyDescent="0.25">
      <c r="B80" s="975"/>
      <c r="C80" s="975"/>
      <c r="D80" s="978"/>
      <c r="E80" s="978"/>
      <c r="F80" s="981"/>
      <c r="G80" s="864"/>
      <c r="H80" s="867"/>
      <c r="I80" s="93">
        <f>SUM(K80+M80+O80)</f>
        <v>93808</v>
      </c>
      <c r="J80" s="94" t="str">
        <f>"(50)"</f>
        <v>(50)</v>
      </c>
      <c r="K80" s="93">
        <f>'kuni 2025 detsember tegevuskava'!Y43</f>
        <v>0</v>
      </c>
      <c r="L80" s="873" t="str">
        <f>"(50)"</f>
        <v>(50)</v>
      </c>
      <c r="M80" s="93">
        <f>'kuni 2025 detsember tegevuskava'!AB43</f>
        <v>45760</v>
      </c>
      <c r="N80" s="94" t="str">
        <f>"(50)"</f>
        <v>(50)</v>
      </c>
      <c r="O80" s="874">
        <f>'kuni 2025 detsember tegevuskava'!AE43</f>
        <v>48048</v>
      </c>
      <c r="P80" s="80" t="str">
        <f>"(50)"</f>
        <v>(50)</v>
      </c>
    </row>
    <row r="81" spans="2:16" ht="17.25" x14ac:dyDescent="0.25">
      <c r="B81" s="975"/>
      <c r="C81" s="975"/>
      <c r="D81" s="978"/>
      <c r="E81" s="978"/>
      <c r="F81" s="981"/>
      <c r="G81" s="864"/>
      <c r="H81" s="867"/>
      <c r="I81" s="272" t="s">
        <v>438</v>
      </c>
      <c r="J81" s="273"/>
      <c r="K81" s="162"/>
      <c r="L81" s="855"/>
      <c r="M81" s="162"/>
      <c r="N81" s="274"/>
      <c r="O81" s="855"/>
      <c r="P81" s="872"/>
    </row>
    <row r="82" spans="2:16" ht="17.25" x14ac:dyDescent="0.25">
      <c r="B82" s="975"/>
      <c r="C82" s="975"/>
      <c r="D82" s="978"/>
      <c r="E82" s="978"/>
      <c r="F82" s="981"/>
      <c r="G82" s="864"/>
      <c r="H82" s="867"/>
      <c r="I82" s="159">
        <f>SUM(I83:I83)</f>
        <v>93808</v>
      </c>
      <c r="J82" s="94"/>
      <c r="K82" s="858">
        <f>SUM(K83:K83)</f>
        <v>0</v>
      </c>
      <c r="L82" s="859"/>
      <c r="M82" s="159">
        <f>SUM(M83:M83)</f>
        <v>45760</v>
      </c>
      <c r="N82" s="149"/>
      <c r="O82" s="159">
        <f>SUM(O83:O83)</f>
        <v>48048</v>
      </c>
      <c r="P82" s="857"/>
    </row>
    <row r="83" spans="2:16" ht="137.25" customHeight="1" thickBot="1" x14ac:dyDescent="0.3">
      <c r="B83" s="975"/>
      <c r="C83" s="976"/>
      <c r="D83" s="979"/>
      <c r="E83" s="979"/>
      <c r="F83" s="982"/>
      <c r="G83" s="869"/>
      <c r="H83" s="166"/>
      <c r="I83" s="116">
        <f>SUM(K83+M83+O83)</f>
        <v>93808</v>
      </c>
      <c r="J83" s="117" t="str">
        <f>"(50)"</f>
        <v>(50)</v>
      </c>
      <c r="K83" s="86">
        <f>K80</f>
        <v>0</v>
      </c>
      <c r="L83" s="87" t="str">
        <f>"(50)"</f>
        <v>(50)</v>
      </c>
      <c r="M83" s="116">
        <f>M80</f>
        <v>45760</v>
      </c>
      <c r="N83" s="117" t="str">
        <f>"(50)"</f>
        <v>(50)</v>
      </c>
      <c r="O83" s="116">
        <f>O80</f>
        <v>48048</v>
      </c>
      <c r="P83" s="89" t="str">
        <f>"(50)"</f>
        <v>(50)</v>
      </c>
    </row>
    <row r="84" spans="2:16" ht="17.25" x14ac:dyDescent="0.25">
      <c r="B84" s="974" t="str">
        <f>'kuni 2025 detsember tegevuskava'!A44&amp;"/"&amp;'kuni 2025 detsember tegevuskava'!C44</f>
        <v>RAM/RM</v>
      </c>
      <c r="C84" s="974" t="str">
        <f>'kuni 2025 detsember tegevuskava'!I44</f>
        <v xml:space="preserve">1.	Rahandusministeeriumi teenuste ja protsesside süsteemseks juhtimiseks puudub ressurss. Täiendavalt on vajalik saada ülevaade ja analüüsida teenuseid nii RaM kui ka RMV üleselt ja kokku leppida mõõdikud teenuste mõõtmiseks ja paremaks juhtimiseks, teostada riskijuhtimist jms.  
2.	Rahandusministeeriumis puudub andmevaldkonda juhtiv ja arendav struktuuriüksus. Puudu on valitsemisala keskne teabehalduse korraldamine ja analüüsimine. Ministeeriumi andmehaldus on puudulikult korraldatud ja vajab täiendavat spetsialisti. 
3.	RaM teenuste arendamine toimub hoogtöö korras mahukate analüüside 
läbiviimisel. Hilisemas toote arendusprotsessis jääb puudu ressursist ja kompetentsist klientide vajaduste paremaks defineerimiseks arendustööde tellimisel. 
4.	RAM puudub võimekus digipöörete elluviimisega kaasnevate protsesside juhtimiseks </v>
      </c>
      <c r="D84" s="977" t="str">
        <f>'kuni 2025 detsember tegevuskava'!J44</f>
        <v>Kesksete võimekuste suurendamine: 
1. Äriarhitektuuri võimekuse suurendamine RaM-is  
(äriarhitekti värbamine); 
2. Andmehalduse rakendamise võimekuse loomine RAMi 
(andmehaldusjuhi värbamine); 
3. Teenusejuhtimise võimekuse suurendamine (teenusedisaineri värbamine RaMi). 
4. Projektijuhtimise võimekuse suurendamine digipöörde tegevuskava elluviimisel.</v>
      </c>
      <c r="E84" s="977" t="str">
        <f>'kuni 2025 detsember tegevuskava'!K44</f>
        <v>2023.a tulemus: 
1. Äriarhitekt on palgatud. 
1. Teenusedisainer on palgatud ja esmane kaardistus on aasta lõpuks olemas.
2. Projektijuht on palgatud.
2024.a tulemus: 
1. Teenusejuhtimise võimekuse suurendamine (teenusedisaineri värbamine RaMi)
2. Projektijuht: RMV valdkonna digipöörde projekti on juhitud.
2025.a tulemus: 
1. Teenuste juhtimise võimekus: 
2. Projektijuht: RMV valdkonna digipööre on juhitud.</v>
      </c>
      <c r="F84" s="980" t="str">
        <f>'kuni 2025 detsember tegevuskava'!P44&amp;""</f>
        <v>SF 21-27 (taotletav raha)</v>
      </c>
      <c r="G84" s="871" cm="1">
        <f t="array" ref="G84">_xlfn.IFS('kuni 2025 detsember tegevuskava'!G44='kuni 2025 detsember tegevuskava'!$G$61,1,'kuni 2025 detsember tegevuskava'!G44='kuni 2025 detsember tegevuskava'!$G$62,2,'kuni 2025 detsember tegevuskava'!G44='kuni 2025 detsember tegevuskava'!$G$63,3,'kuni 2025 detsember tegevuskava'!G44='kuni 2025 detsember tegevuskava'!$G$64,4)</f>
        <v>4</v>
      </c>
      <c r="H84" s="167" cm="1">
        <f t="array" ref="H84">_xlfn.IFS(OR('kuni 2025 detsember tegevuskava'!P44='kuni 2025 detsember tegevuskava'!$P$61,'kuni 2025 detsember tegevuskava'!P44='kuni 2025 detsember tegevuskava'!$P$63,'kuni 2025 detsember tegevuskava'!P44='kuni 2025 detsember tegevuskava'!$P$64,'kuni 2025 detsember tegevuskava'!P44='kuni 2025 detsember tegevuskava'!$P$65),1,'kuni 2025 detsember tegevuskava'!P44='kuni 2025 detsember tegevuskava'!$P$66,2,'kuni 2025 detsember tegevuskava'!P44='kuni 2025 detsember tegevuskava'!$P$67,2,'kuni 2025 detsember tegevuskava'!P44='kuni 2025 detsember tegevuskava'!$P$62,3)</f>
        <v>2</v>
      </c>
      <c r="I84" s="118">
        <f>SUM(I85:I85)</f>
        <v>67000</v>
      </c>
      <c r="J84" s="119"/>
      <c r="K84" s="74">
        <f>SUM(K85:K85)</f>
        <v>50000</v>
      </c>
      <c r="L84" s="76"/>
      <c r="M84" s="118">
        <f>SUM(M85:M85)</f>
        <v>17000</v>
      </c>
      <c r="N84" s="119"/>
      <c r="O84" s="74">
        <f>SUM(O85:O85)</f>
        <v>0</v>
      </c>
      <c r="P84" s="78"/>
    </row>
    <row r="85" spans="2:16" ht="17.25" x14ac:dyDescent="0.25">
      <c r="B85" s="975"/>
      <c r="C85" s="975"/>
      <c r="D85" s="978"/>
      <c r="E85" s="978"/>
      <c r="F85" s="981"/>
      <c r="G85" s="864"/>
      <c r="H85" s="867"/>
      <c r="I85" s="93">
        <f>SUM(K85+M85+O85)</f>
        <v>67000</v>
      </c>
      <c r="J85" s="94" t="str">
        <f>"(50)"</f>
        <v>(50)</v>
      </c>
      <c r="K85" s="874">
        <f>'kuni 2025 detsember tegevuskava'!Y44</f>
        <v>50000</v>
      </c>
      <c r="L85" s="873" t="str">
        <f>"(50)"</f>
        <v>(50)</v>
      </c>
      <c r="M85" s="93">
        <f>'kuni 2025 detsember tegevuskava'!AB44</f>
        <v>17000</v>
      </c>
      <c r="N85" s="94" t="str">
        <f>"(50)"</f>
        <v>(50)</v>
      </c>
      <c r="O85" s="874">
        <f>'kuni 2025 detsember tegevuskava'!AE44</f>
        <v>0</v>
      </c>
      <c r="P85" s="80" t="str">
        <f>"(50)"</f>
        <v>(50)</v>
      </c>
    </row>
    <row r="86" spans="2:16" ht="17.25" x14ac:dyDescent="0.25">
      <c r="B86" s="975"/>
      <c r="C86" s="975"/>
      <c r="D86" s="978"/>
      <c r="E86" s="978"/>
      <c r="F86" s="981"/>
      <c r="G86" s="864"/>
      <c r="H86" s="867"/>
      <c r="I86" s="162" t="s">
        <v>438</v>
      </c>
      <c r="J86" s="855"/>
      <c r="K86" s="855"/>
      <c r="L86" s="855"/>
      <c r="M86" s="855"/>
      <c r="N86" s="855"/>
      <c r="O86" s="855"/>
      <c r="P86" s="872"/>
    </row>
    <row r="87" spans="2:16" ht="17.25" x14ac:dyDescent="0.25">
      <c r="B87" s="975"/>
      <c r="C87" s="975"/>
      <c r="D87" s="978"/>
      <c r="E87" s="978"/>
      <c r="F87" s="981"/>
      <c r="G87" s="864"/>
      <c r="H87" s="867"/>
      <c r="I87" s="860">
        <f>SUM(I88:I88)</f>
        <v>67000</v>
      </c>
      <c r="J87" s="854"/>
      <c r="K87" s="861">
        <f>SUM(K88:K88)</f>
        <v>50000</v>
      </c>
      <c r="L87" s="862"/>
      <c r="M87" s="863">
        <f>SUM(M88:M88)</f>
        <v>17000</v>
      </c>
      <c r="N87" s="149"/>
      <c r="O87" s="159">
        <f>SUM(O88:O88)</f>
        <v>0</v>
      </c>
      <c r="P87" s="857"/>
    </row>
    <row r="88" spans="2:16" ht="240" customHeight="1" thickBot="1" x14ac:dyDescent="0.3">
      <c r="B88" s="975"/>
      <c r="C88" s="976"/>
      <c r="D88" s="979"/>
      <c r="E88" s="979"/>
      <c r="F88" s="982"/>
      <c r="G88" s="869"/>
      <c r="H88" s="166"/>
      <c r="I88" s="116">
        <f>SUM(K88+M88+O88)</f>
        <v>67000</v>
      </c>
      <c r="J88" s="117" t="str">
        <f>"(50)"</f>
        <v>(50)</v>
      </c>
      <c r="K88" s="86">
        <f>K85</f>
        <v>50000</v>
      </c>
      <c r="L88" s="87" t="str">
        <f>"(50)"</f>
        <v>(50)</v>
      </c>
      <c r="M88" s="116">
        <f>M85</f>
        <v>17000</v>
      </c>
      <c r="N88" s="117" t="str">
        <f>"(50)"</f>
        <v>(50)</v>
      </c>
      <c r="O88" s="116">
        <f>O85</f>
        <v>0</v>
      </c>
      <c r="P88" s="89" t="str">
        <f>"(50)"</f>
        <v>(50)</v>
      </c>
    </row>
    <row r="89" spans="2:16" ht="17.25" x14ac:dyDescent="0.25">
      <c r="B89" s="974" t="str">
        <f>'kuni 2025 detsember tegevuskava'!A45&amp;"/"&amp;'kuni 2025 detsember tegevuskava'!C45</f>
        <v>RAM/RTK</v>
      </c>
      <c r="C89" s="974" t="str">
        <f>'kuni 2025 detsember tegevuskava'!I45</f>
        <v>RTK teenuste ja protsesside süsteemseks juhtimiseks puudub ressurss.</v>
      </c>
      <c r="D89" s="977" t="str">
        <f>'kuni 2025 detsember tegevuskava'!J45</f>
        <v>Äriarhitektuuri võimekuse suurendamine RTKs (äriarhitekti värbamine).</v>
      </c>
      <c r="E89" s="977" t="str">
        <f>'kuni 2025 detsember tegevuskava'!K45</f>
        <v>2023.a tulemus: -
2024: Äriarhitekt on värvatud. Olemas on esmane hinnang RTK äriarhitektuuri küpsusele ja koostatud on edasine tegevuskava. RTK töötajad teavad, mis on äriarhitektuur ja mida võib oodata RTK äriarhitektilt. Majandustarkvara uuendamise projekti puhul rakendatakse algusest peale äriarhitektuuri lähenemist. Välja on töötatud organisatsiooni erinevaid teenuseid ja protsesse hõlmav terviklahenduste kontseptsioon ja analüüsitud vähemalt kolme võimalikku terviklahendust.
2025: Tegevused vastavalt koostatud tegevuskavale – tervikliku ärivaate hoidmine ja arendamine, nt protsesside ja infosüsteemide arenduste planeerimisel organisatsiooni üleselt ühtse metoodika rakendamine (selle juurutamine), uute tehnoloogiliste lahenduste kasutuselevõtu toetamine jne.</v>
      </c>
      <c r="F89" s="980" t="str">
        <f>'kuni 2025 detsember tegevuskava'!P45&amp;""</f>
        <v>SF 21-27 (taotletav raha)</v>
      </c>
      <c r="G89" s="871" cm="1">
        <f t="array" ref="G89">_xlfn.IFS('kuni 2025 detsember tegevuskava'!G45='kuni 2025 detsember tegevuskava'!$G$61,1,'kuni 2025 detsember tegevuskava'!G45='kuni 2025 detsember tegevuskava'!$G$62,2,'kuni 2025 detsember tegevuskava'!G45='kuni 2025 detsember tegevuskava'!$G$63,3,'kuni 2025 detsember tegevuskava'!G45='kuni 2025 detsember tegevuskava'!$G$64,4)</f>
        <v>4</v>
      </c>
      <c r="H89" s="167" cm="1">
        <f t="array" ref="H89">_xlfn.IFS(OR('kuni 2025 detsember tegevuskava'!P45='kuni 2025 detsember tegevuskava'!$P$61,'kuni 2025 detsember tegevuskava'!P45='kuni 2025 detsember tegevuskava'!$P$63,'kuni 2025 detsember tegevuskava'!P45='kuni 2025 detsember tegevuskava'!$P$64,'kuni 2025 detsember tegevuskava'!P45='kuni 2025 detsember tegevuskava'!$P$65),1,'kuni 2025 detsember tegevuskava'!P45='kuni 2025 detsember tegevuskava'!$P$66,2,'kuni 2025 detsember tegevuskava'!P45='kuni 2025 detsember tegevuskava'!$P$67,2,'kuni 2025 detsember tegevuskava'!P45='kuni 2025 detsember tegevuskava'!$P$62,3)</f>
        <v>2</v>
      </c>
      <c r="I89" s="118">
        <f>SUM(I90:I90)</f>
        <v>118494</v>
      </c>
      <c r="J89" s="119"/>
      <c r="K89" s="74">
        <f>SUM(K90:K90)</f>
        <v>0</v>
      </c>
      <c r="L89" s="76"/>
      <c r="M89" s="118">
        <f>SUM(M90:M90)</f>
        <v>57802</v>
      </c>
      <c r="N89" s="119"/>
      <c r="O89" s="74">
        <f>SUM(O90:O90)</f>
        <v>60692</v>
      </c>
      <c r="P89" s="78"/>
    </row>
    <row r="90" spans="2:16" ht="17.25" x14ac:dyDescent="0.25">
      <c r="B90" s="975"/>
      <c r="C90" s="975"/>
      <c r="D90" s="978"/>
      <c r="E90" s="978"/>
      <c r="F90" s="981"/>
      <c r="G90" s="864"/>
      <c r="H90" s="867"/>
      <c r="I90" s="93">
        <f>SUM(K90+M90+O90)</f>
        <v>118494</v>
      </c>
      <c r="J90" s="94" t="str">
        <f>"(50)"</f>
        <v>(50)</v>
      </c>
      <c r="K90" s="874">
        <f>'kuni 2025 detsember tegevuskava'!Y45</f>
        <v>0</v>
      </c>
      <c r="L90" s="873" t="str">
        <f>"(50)"</f>
        <v>(50)</v>
      </c>
      <c r="M90" s="93">
        <f>'kuni 2025 detsember tegevuskava'!AB45</f>
        <v>57802</v>
      </c>
      <c r="N90" s="94" t="str">
        <f>"(50)"</f>
        <v>(50)</v>
      </c>
      <c r="O90" s="874">
        <f>'kuni 2025 detsember tegevuskava'!AE45</f>
        <v>60692</v>
      </c>
      <c r="P90" s="80" t="str">
        <f>"(50)"</f>
        <v>(50)</v>
      </c>
    </row>
    <row r="91" spans="2:16" ht="17.25" x14ac:dyDescent="0.25">
      <c r="B91" s="975"/>
      <c r="C91" s="975"/>
      <c r="D91" s="978"/>
      <c r="E91" s="978"/>
      <c r="F91" s="981"/>
      <c r="G91" s="864"/>
      <c r="H91" s="867"/>
      <c r="I91" s="162" t="s">
        <v>438</v>
      </c>
      <c r="J91" s="855"/>
      <c r="K91" s="855"/>
      <c r="L91" s="855"/>
      <c r="M91" s="855"/>
      <c r="N91" s="855"/>
      <c r="O91" s="855"/>
      <c r="P91" s="872"/>
    </row>
    <row r="92" spans="2:16" ht="17.25" x14ac:dyDescent="0.25">
      <c r="B92" s="975"/>
      <c r="C92" s="975"/>
      <c r="D92" s="978"/>
      <c r="E92" s="978"/>
      <c r="F92" s="981"/>
      <c r="G92" s="864"/>
      <c r="H92" s="867"/>
      <c r="I92" s="159">
        <f>SUM(I93:I93)</f>
        <v>118494</v>
      </c>
      <c r="J92" s="94"/>
      <c r="K92" s="858">
        <f>SUM(K93:K93)</f>
        <v>0</v>
      </c>
      <c r="L92" s="859"/>
      <c r="M92" s="159">
        <f>SUM(M93:M93)</f>
        <v>57802</v>
      </c>
      <c r="N92" s="149"/>
      <c r="O92" s="159">
        <f>SUM(O93:O93)</f>
        <v>60692</v>
      </c>
      <c r="P92" s="857"/>
    </row>
    <row r="93" spans="2:16" ht="213.75" customHeight="1" thickBot="1" x14ac:dyDescent="0.3">
      <c r="B93" s="975"/>
      <c r="C93" s="976"/>
      <c r="D93" s="979"/>
      <c r="E93" s="979"/>
      <c r="F93" s="982"/>
      <c r="G93" s="869"/>
      <c r="H93" s="166"/>
      <c r="I93" s="116">
        <f>SUM(K93+M93+O93)</f>
        <v>118494</v>
      </c>
      <c r="J93" s="117" t="str">
        <f>"(50)"</f>
        <v>(50)</v>
      </c>
      <c r="K93" s="86">
        <f>K90</f>
        <v>0</v>
      </c>
      <c r="L93" s="87" t="str">
        <f>"(50)"</f>
        <v>(50)</v>
      </c>
      <c r="M93" s="116">
        <f>M90</f>
        <v>57802</v>
      </c>
      <c r="N93" s="117" t="str">
        <f>"(50)"</f>
        <v>(50)</v>
      </c>
      <c r="O93" s="116">
        <f>O90</f>
        <v>60692</v>
      </c>
      <c r="P93" s="89" t="str">
        <f>"(50)"</f>
        <v>(50)</v>
      </c>
    </row>
    <row r="94" spans="2:16" ht="17.25" x14ac:dyDescent="0.25">
      <c r="B94" s="974" t="str">
        <f>'kuni 2025 detsember tegevuskava'!A46&amp;"/"&amp;'kuni 2025 detsember tegevuskava'!C46</f>
        <v>RAM/RMIT</v>
      </c>
      <c r="C94" s="974" t="str">
        <f>'kuni 2025 detsember tegevuskava'!I46</f>
        <v>Kõigis RMV asutustes on aktiivne prioriteetne andmeanalüütika ja\või andmelao, -järve projekt, mis eeldab toetava tehnilise kompetentsi loomist RMIT-i.</v>
      </c>
      <c r="D94" s="977" t="str">
        <f>'kuni 2025 detsember tegevuskava'!J46</f>
        <v>RMV Andmeladude tehnilise baasvõimekuse loomine (andmelaoarhitektide värbamine RMITi), mis tagab lahenduste (tehnilise) kvaliteedi - kuluefektiivsuse, automatiseerituse, kaasaegsuse, hallatavuse, turvalisuse ja tehnilise jätkusuutlikkuse ning võimaldab standardiseerida ja taaskasutada sarnased lahendused.</v>
      </c>
      <c r="E94" s="977" t="str">
        <f>'kuni 2025 detsember tegevuskava'!K46</f>
        <v>2023.a tulemus: Meeskond mehitatud
Üldine RMV hetkeolukord ja vajadused kaardistatud
RAB SAF s.h andmelao tehnoloogiline arhitektuur ja arendusplaan koostatud sh migratsiooniplaan. 
2024.a tulemus:
Loodud üldine RMV andmeanalüütika tulevikuvisioon ja tegevuskava
RAB andmelao põhifunktsionaalsus loodud RMIT keskkonnas ja andmed migreeritud. 
2025. a tulemus
RMV ülene keskne andmelao terviklahendus juurutatud
SAF andmelao kokkulepitud funktsionaalsus lisatud kesksele andmelao platvormile</v>
      </c>
      <c r="F94" s="980" t="str">
        <f>'kuni 2025 detsember tegevuskava'!P46&amp;""</f>
        <v>SF 21-27 (taotletav raha)</v>
      </c>
      <c r="G94" s="871" cm="1">
        <f t="array" ref="G94">_xlfn.IFS('kuni 2025 detsember tegevuskava'!G46='kuni 2025 detsember tegevuskava'!$G$61,1,'kuni 2025 detsember tegevuskava'!G46='kuni 2025 detsember tegevuskava'!$G$62,2,'kuni 2025 detsember tegevuskava'!G46='kuni 2025 detsember tegevuskava'!$G$63,3,'kuni 2025 detsember tegevuskava'!G46='kuni 2025 detsember tegevuskava'!$G$64,4)</f>
        <v>1</v>
      </c>
      <c r="H94" s="167" cm="1">
        <f t="array" ref="H94">_xlfn.IFS(OR('kuni 2025 detsember tegevuskava'!P46='kuni 2025 detsember tegevuskava'!$P$61,'kuni 2025 detsember tegevuskava'!P46='kuni 2025 detsember tegevuskava'!$P$63,'kuni 2025 detsember tegevuskava'!P46='kuni 2025 detsember tegevuskava'!$P$64,'kuni 2025 detsember tegevuskava'!P46='kuni 2025 detsember tegevuskava'!$P$65),1,'kuni 2025 detsember tegevuskava'!P46='kuni 2025 detsember tegevuskava'!$P$66,2,'kuni 2025 detsember tegevuskava'!P46='kuni 2025 detsember tegevuskava'!$P$67,2,'kuni 2025 detsember tegevuskava'!P46='kuni 2025 detsember tegevuskava'!$P$62,3)</f>
        <v>2</v>
      </c>
      <c r="I94" s="118">
        <f>SUM(I95:I95)</f>
        <v>798019</v>
      </c>
      <c r="J94" s="119"/>
      <c r="K94" s="74">
        <f>SUM(K95:K95)</f>
        <v>54000</v>
      </c>
      <c r="L94" s="76"/>
      <c r="M94" s="118">
        <f>SUM(M95:M95)</f>
        <v>339406</v>
      </c>
      <c r="N94" s="119"/>
      <c r="O94" s="74">
        <f>SUM(O95:O95)</f>
        <v>404613</v>
      </c>
      <c r="P94" s="78"/>
    </row>
    <row r="95" spans="2:16" ht="17.25" x14ac:dyDescent="0.25">
      <c r="B95" s="975"/>
      <c r="C95" s="975"/>
      <c r="D95" s="978"/>
      <c r="E95" s="978"/>
      <c r="F95" s="981"/>
      <c r="G95" s="864"/>
      <c r="H95" s="867"/>
      <c r="I95" s="93">
        <f>SUM(K95+M95+O95)</f>
        <v>798019</v>
      </c>
      <c r="J95" s="94" t="str">
        <f>"(50)"</f>
        <v>(50)</v>
      </c>
      <c r="K95" s="874">
        <f>'kuni 2025 detsember tegevuskava'!Y46</f>
        <v>54000</v>
      </c>
      <c r="L95" s="873" t="str">
        <f>"(50)"</f>
        <v>(50)</v>
      </c>
      <c r="M95" s="93">
        <f>'kuni 2025 detsember tegevuskava'!AB46</f>
        <v>339406</v>
      </c>
      <c r="N95" s="94" t="str">
        <f>"(50)"</f>
        <v>(50)</v>
      </c>
      <c r="O95" s="874">
        <f>'kuni 2025 detsember tegevuskava'!AE46</f>
        <v>404613</v>
      </c>
      <c r="P95" s="80" t="str">
        <f>"(50)"</f>
        <v>(50)</v>
      </c>
    </row>
    <row r="96" spans="2:16" ht="17.25" x14ac:dyDescent="0.25">
      <c r="B96" s="975"/>
      <c r="C96" s="975"/>
      <c r="D96" s="978"/>
      <c r="E96" s="978"/>
      <c r="F96" s="981"/>
      <c r="G96" s="864"/>
      <c r="H96" s="867"/>
      <c r="I96" s="162" t="s">
        <v>438</v>
      </c>
      <c r="J96" s="855"/>
      <c r="K96" s="855"/>
      <c r="L96" s="855"/>
      <c r="M96" s="855"/>
      <c r="N96" s="855"/>
      <c r="O96" s="855"/>
      <c r="P96" s="872"/>
    </row>
    <row r="97" spans="2:16" ht="17.25" x14ac:dyDescent="0.25">
      <c r="B97" s="975"/>
      <c r="C97" s="975"/>
      <c r="D97" s="978"/>
      <c r="E97" s="978"/>
      <c r="F97" s="981"/>
      <c r="G97" s="864"/>
      <c r="H97" s="867"/>
      <c r="I97" s="159">
        <f>SUM(I98:I98)</f>
        <v>798019</v>
      </c>
      <c r="J97" s="94"/>
      <c r="K97" s="858">
        <f>SUM(K98:K98)</f>
        <v>54000</v>
      </c>
      <c r="L97" s="859"/>
      <c r="M97" s="159">
        <f>SUM(M98:M98)</f>
        <v>339406</v>
      </c>
      <c r="N97" s="149"/>
      <c r="O97" s="159">
        <f>SUM(O98:O98)</f>
        <v>404613</v>
      </c>
      <c r="P97" s="857"/>
    </row>
    <row r="98" spans="2:16" ht="171" customHeight="1" thickBot="1" x14ac:dyDescent="0.3">
      <c r="B98" s="975"/>
      <c r="C98" s="976"/>
      <c r="D98" s="979"/>
      <c r="E98" s="979"/>
      <c r="F98" s="982"/>
      <c r="G98" s="869"/>
      <c r="H98" s="166"/>
      <c r="I98" s="116">
        <f>SUM(K98+M98+O98)</f>
        <v>798019</v>
      </c>
      <c r="J98" s="117" t="str">
        <f>"(50)"</f>
        <v>(50)</v>
      </c>
      <c r="K98" s="86">
        <f>K95</f>
        <v>54000</v>
      </c>
      <c r="L98" s="87" t="str">
        <f>"(50)"</f>
        <v>(50)</v>
      </c>
      <c r="M98" s="116">
        <f>M95</f>
        <v>339406</v>
      </c>
      <c r="N98" s="117" t="str">
        <f>"(50)"</f>
        <v>(50)</v>
      </c>
      <c r="O98" s="116">
        <f>O95</f>
        <v>404613</v>
      </c>
      <c r="P98" s="89" t="str">
        <f>"(50)"</f>
        <v>(50)</v>
      </c>
    </row>
    <row r="99" spans="2:16" ht="17.25" x14ac:dyDescent="0.25">
      <c r="B99" s="974" t="str">
        <f>'kuni 2025 detsember tegevuskava'!A47&amp;"/"&amp;'kuni 2025 detsember tegevuskava'!C47</f>
        <v>RAM/RM</v>
      </c>
      <c r="C99" s="974" t="str">
        <f>'kuni 2025 detsember tegevuskava'!I47</f>
        <v>Digipöörde baasrahastus</v>
      </c>
      <c r="D99" s="977" t="str">
        <f>'kuni 2025 detsember tegevuskava'!J47</f>
        <v>Riigikasssa rakenduse baasrahastus</v>
      </c>
      <c r="E99" s="977" t="str">
        <f>'kuni 2025 detsember tegevuskava'!K47</f>
        <v>Olemasolev baasrahastus</v>
      </c>
      <c r="F99" s="980" t="str">
        <f>'kuni 2025 detsember tegevuskava'!P47&amp;""</f>
        <v>Baaseelarve</v>
      </c>
      <c r="G99" s="875"/>
      <c r="H99" s="167" cm="1">
        <f t="array" ref="H99">_xlfn.IFS(OR('kuni 2025 detsember tegevuskava'!P47='kuni 2025 detsember tegevuskava'!$P$61,'kuni 2025 detsember tegevuskava'!P47='kuni 2025 detsember tegevuskava'!$P$63,'kuni 2025 detsember tegevuskava'!P47='kuni 2025 detsember tegevuskava'!$P$64,'kuni 2025 detsember tegevuskava'!P47='kuni 2025 detsember tegevuskava'!$P$65),1,'kuni 2025 detsember tegevuskava'!P47='kuni 2025 detsember tegevuskava'!$P$66,2,'kuni 2025 detsember tegevuskava'!P47='kuni 2025 detsember tegevuskava'!$P$67,2,'kuni 2025 detsember tegevuskava'!P47='kuni 2025 detsember tegevuskava'!$P$62,3)</f>
        <v>1</v>
      </c>
      <c r="I99" s="118">
        <f>SUM(I100:I100)</f>
        <v>390000</v>
      </c>
      <c r="J99" s="119"/>
      <c r="K99" s="74">
        <f>SUM(K100:K100)</f>
        <v>130000</v>
      </c>
      <c r="L99" s="76"/>
      <c r="M99" s="118">
        <f>SUM(M100:M100)</f>
        <v>130000</v>
      </c>
      <c r="N99" s="119"/>
      <c r="O99" s="74">
        <f>SUM(O100:O100)</f>
        <v>130000</v>
      </c>
      <c r="P99" s="78"/>
    </row>
    <row r="100" spans="2:16" ht="17.25" x14ac:dyDescent="0.25">
      <c r="B100" s="975"/>
      <c r="C100" s="975"/>
      <c r="D100" s="978"/>
      <c r="E100" s="978"/>
      <c r="F100" s="981"/>
      <c r="G100" s="864"/>
      <c r="H100" s="867"/>
      <c r="I100" s="93">
        <f>SUM(K100+M100+O100)</f>
        <v>390000</v>
      </c>
      <c r="J100" s="96" t="str">
        <f>"(55)"</f>
        <v>(55)</v>
      </c>
      <c r="K100" s="90">
        <f>'kuni 2025 detsember tegevuskava'!Z47</f>
        <v>130000</v>
      </c>
      <c r="L100" s="81" t="str">
        <f>"(55)"</f>
        <v>(55)</v>
      </c>
      <c r="M100" s="95">
        <f>'kuni 2025 detsember tegevuskava'!AC47</f>
        <v>130000</v>
      </c>
      <c r="N100" s="96" t="str">
        <f>"(55)"</f>
        <v>(55)</v>
      </c>
      <c r="O100" s="90">
        <f>'kuni 2025 detsember tegevuskava'!AF47</f>
        <v>130000</v>
      </c>
      <c r="P100" s="83" t="str">
        <f>"(55)"</f>
        <v>(55)</v>
      </c>
    </row>
    <row r="101" spans="2:16" ht="17.25" x14ac:dyDescent="0.25">
      <c r="B101" s="975"/>
      <c r="C101" s="975"/>
      <c r="D101" s="978"/>
      <c r="E101" s="978"/>
      <c r="F101" s="981"/>
      <c r="G101" s="864"/>
      <c r="H101" s="867"/>
      <c r="I101" s="162" t="s">
        <v>438</v>
      </c>
      <c r="J101" s="8"/>
      <c r="K101" s="8"/>
      <c r="L101" s="8"/>
      <c r="M101" s="8"/>
      <c r="N101" s="8"/>
      <c r="O101" s="8"/>
      <c r="P101" s="144"/>
    </row>
    <row r="102" spans="2:16" ht="17.25" x14ac:dyDescent="0.25">
      <c r="B102" s="975"/>
      <c r="C102" s="975"/>
      <c r="D102" s="978"/>
      <c r="E102" s="978"/>
      <c r="F102" s="981"/>
      <c r="G102" s="864"/>
      <c r="H102" s="867"/>
      <c r="I102" s="159">
        <f>SUM(I103:I103)</f>
        <v>473200</v>
      </c>
      <c r="J102" s="92"/>
      <c r="K102" s="84">
        <f>SUM(K103:K103)</f>
        <v>156000</v>
      </c>
      <c r="L102" s="85"/>
      <c r="M102" s="91">
        <f>SUM(M103:M103)</f>
        <v>158600</v>
      </c>
      <c r="N102" s="97"/>
      <c r="O102" s="91">
        <f>SUM(O103:O103)</f>
        <v>158600</v>
      </c>
      <c r="P102" s="120"/>
    </row>
    <row r="103" spans="2:16" ht="18" thickBot="1" x14ac:dyDescent="0.3">
      <c r="B103" s="976"/>
      <c r="C103" s="976"/>
      <c r="D103" s="979"/>
      <c r="E103" s="979"/>
      <c r="F103" s="982"/>
      <c r="G103" s="869"/>
      <c r="H103" s="166"/>
      <c r="I103" s="116">
        <f>SUM(K103+M103+O103)</f>
        <v>473200</v>
      </c>
      <c r="J103" s="117" t="str">
        <f>"(55)"</f>
        <v>(55)</v>
      </c>
      <c r="K103" s="86">
        <f>SUM(K100*1.2)</f>
        <v>156000</v>
      </c>
      <c r="L103" s="87" t="str">
        <f>"(55)"</f>
        <v>(55)</v>
      </c>
      <c r="M103" s="116">
        <f>SUM(M100*1.22)</f>
        <v>158600</v>
      </c>
      <c r="N103" s="117" t="str">
        <f>"(55)"</f>
        <v>(55)</v>
      </c>
      <c r="O103" s="116">
        <f>SUM(O100*1.22)</f>
        <v>158600</v>
      </c>
      <c r="P103" s="89" t="str">
        <f>"(55)"</f>
        <v>(55)</v>
      </c>
    </row>
    <row r="104" spans="2:16" ht="17.25" x14ac:dyDescent="0.25">
      <c r="B104" s="974" t="str">
        <f>'kuni 2025 detsember tegevuskava'!A47&amp;"/"&amp;'kuni 2025 detsember tegevuskava'!C48</f>
        <v>RAM/RTK</v>
      </c>
      <c r="C104" s="974" t="str">
        <f>'kuni 2025 detsember tegevuskava'!I48</f>
        <v>Olemasoleva majandustarkvara SAP toote tugi lõpeb 2028dal aastal</v>
      </c>
      <c r="D104" s="977" t="str">
        <f>'kuni 2025 detsember tegevuskava'!J48</f>
        <v>Uue majandustarkvara juurutamine*</v>
      </c>
      <c r="E104" s="977" t="str">
        <f>'kuni 2025 detsember tegevuskava'!K48</f>
        <v>2024: Riigiüleste ja RTK klientide vajaduste osas laiem ärianalüüs, millised teenused veel lisaks võiks olla infotehnoloogiliselt toetatud. Teiste riikide kogemustega tutvumine, kes on kasutanud sarnast SAPi lahendust nagu RTK.  
Eelanalüüsi hanke tehnilise kirjelduse koostamine, olemasoleva süsteemi kaardistus
2025 tulemus: Eelanalüüs uue süsteemi juurutamiseks. Eelanalüüs peab andma vastuse: kas teha süsteemi migratsioon või uus juurutus; milline peaks olema kogu süsteemi üldine arhitektuur (mingi funktsionaalsuse osas võimalik pilvelahendus, põhiandmed riigi infrastruktuuris); litsentseerimise mudel;
majandustarkvara sisemine arhitektuur (kasutatavad moodulid); juurutamise etapid, kui pole migratsioon; projekti riskid, teiste riikide kogemus; sisend arendushankeks
2026 tulemus: Uue süsteemi arendustööd. Arendustööd peavad sisaldama: detailanalüüsi; seadistustöid; arendustöid; testimist; koolitusi; dokumentatsiooni; juurutamise tuge</v>
      </c>
      <c r="F104" s="980" t="str">
        <f>'kuni 2025 detsember tegevuskava'!P48&amp;""</f>
        <v>SF 21-27 (taotletav raha)</v>
      </c>
      <c r="G104" s="871" cm="1">
        <f t="array" ref="G104">_xlfn.IFS('kuni 2025 detsember tegevuskava'!G48='kuni 2025 detsember tegevuskava'!$G$61,1,'kuni 2025 detsember tegevuskava'!G48='kuni 2025 detsember tegevuskava'!$G$62,2,'kuni 2025 detsember tegevuskava'!#REF!='kuni 2025 detsember tegevuskava'!$G$63,3,'kuni 2025 detsember tegevuskava'!#REF!='kuni 2025 detsember tegevuskava'!$G$64,4)</f>
        <v>1</v>
      </c>
      <c r="H104" s="167" cm="1">
        <f t="array" ref="H104">_xlfn.IFS(OR('kuni 2025 detsember tegevuskava'!P48='kuni 2025 detsember tegevuskava'!$P$61,'kuni 2025 detsember tegevuskava'!P48='kuni 2025 detsember tegevuskava'!$P$63,'kuni 2025 detsember tegevuskava'!P48='kuni 2025 detsember tegevuskava'!$P$64,'kuni 2025 detsember tegevuskava'!P48='kuni 2025 detsember tegevuskava'!$P$65),1,'kuni 2025 detsember tegevuskava'!P48='kuni 2025 detsember tegevuskava'!$P$66,2,'kuni 2025 detsember tegevuskava'!P48='kuni 2025 detsember tegevuskava'!$P$67,2,'kuni 2025 detsember tegevuskava'!P48='kuni 2025 detsember tegevuskava'!$P$62,3)</f>
        <v>2</v>
      </c>
      <c r="I104" s="118">
        <f>SUM(I105:I105)</f>
        <v>200000</v>
      </c>
      <c r="J104" s="119"/>
      <c r="K104" s="74">
        <f>SUM(K105:K105)</f>
        <v>0</v>
      </c>
      <c r="L104" s="76"/>
      <c r="M104" s="118">
        <f>SUM(M105:M105)</f>
        <v>0</v>
      </c>
      <c r="N104" s="119"/>
      <c r="O104" s="74">
        <f>SUM(O105:O105)</f>
        <v>200000</v>
      </c>
      <c r="P104" s="78"/>
    </row>
    <row r="105" spans="2:16" ht="17.25" x14ac:dyDescent="0.25">
      <c r="B105" s="975"/>
      <c r="C105" s="975"/>
      <c r="D105" s="978"/>
      <c r="E105" s="978"/>
      <c r="F105" s="981"/>
      <c r="G105" s="864"/>
      <c r="H105" s="867"/>
      <c r="I105" s="93">
        <f>SUM(K105+M105+O105)</f>
        <v>200000</v>
      </c>
      <c r="J105" s="94" t="str">
        <f>"(15)"</f>
        <v>(15)</v>
      </c>
      <c r="K105" s="874">
        <f>'kuni 2025 detsember tegevuskava'!X48</f>
        <v>0</v>
      </c>
      <c r="L105" s="873" t="str">
        <f>"(15)"</f>
        <v>(15)</v>
      </c>
      <c r="M105" s="93">
        <f>'kuni 2025 detsember tegevuskava'!AA48</f>
        <v>0</v>
      </c>
      <c r="N105" s="94" t="str">
        <f>"(15)"</f>
        <v>(15)</v>
      </c>
      <c r="O105" s="874">
        <f>'kuni 2025 detsember tegevuskava'!AD48</f>
        <v>200000</v>
      </c>
      <c r="P105" s="80" t="str">
        <f>"(15)"</f>
        <v>(15)</v>
      </c>
    </row>
    <row r="106" spans="2:16" ht="17.25" x14ac:dyDescent="0.25">
      <c r="B106" s="975"/>
      <c r="C106" s="975"/>
      <c r="D106" s="978"/>
      <c r="E106" s="978"/>
      <c r="F106" s="981"/>
      <c r="G106" s="864"/>
      <c r="H106" s="867"/>
      <c r="I106" s="162" t="s">
        <v>438</v>
      </c>
      <c r="J106" s="855"/>
      <c r="K106" s="855"/>
      <c r="L106" s="855"/>
      <c r="M106" s="855"/>
      <c r="N106" s="855"/>
      <c r="O106" s="855"/>
      <c r="P106" s="872"/>
    </row>
    <row r="107" spans="2:16" ht="17.25" x14ac:dyDescent="0.25">
      <c r="B107" s="975"/>
      <c r="C107" s="975"/>
      <c r="D107" s="978"/>
      <c r="E107" s="978"/>
      <c r="F107" s="981"/>
      <c r="G107" s="864"/>
      <c r="H107" s="867"/>
      <c r="I107" s="159">
        <f>SUM(I108:I108)</f>
        <v>244000</v>
      </c>
      <c r="J107" s="94"/>
      <c r="K107" s="858">
        <f>SUM(K108:K108)</f>
        <v>0</v>
      </c>
      <c r="L107" s="859"/>
      <c r="M107" s="159">
        <f>SUM(M108:M108)</f>
        <v>0</v>
      </c>
      <c r="N107" s="149"/>
      <c r="O107" s="159">
        <f>SUM(O108:O108)</f>
        <v>244000</v>
      </c>
      <c r="P107" s="857"/>
    </row>
    <row r="108" spans="2:16" ht="267" customHeight="1" thickBot="1" x14ac:dyDescent="0.3">
      <c r="B108" s="975"/>
      <c r="C108" s="976"/>
      <c r="D108" s="979"/>
      <c r="E108" s="979"/>
      <c r="F108" s="982"/>
      <c r="G108" s="869"/>
      <c r="H108" s="166"/>
      <c r="I108" s="116">
        <f>SUM(K108+M108+O108)</f>
        <v>244000</v>
      </c>
      <c r="J108" s="117" t="str">
        <f>"(15)"</f>
        <v>(15)</v>
      </c>
      <c r="K108" s="86">
        <f>SUM(K105*1.2)</f>
        <v>0</v>
      </c>
      <c r="L108" s="87" t="str">
        <f>"(15)"</f>
        <v>(15)</v>
      </c>
      <c r="M108" s="116">
        <f>SUM(M105*1.22)</f>
        <v>0</v>
      </c>
      <c r="N108" s="117" t="str">
        <f>"(15)"</f>
        <v>(15)</v>
      </c>
      <c r="O108" s="116">
        <f>SUM(O105*1.22)</f>
        <v>244000</v>
      </c>
      <c r="P108" s="89" t="str">
        <f>"(15)"</f>
        <v>(15)</v>
      </c>
    </row>
    <row r="109" spans="2:16" ht="17.25" x14ac:dyDescent="0.25">
      <c r="B109" s="974" t="str">
        <f>'kuni 2025 detsember tegevuskava'!A47&amp;"/"&amp;'kuni 2025 detsember tegevuskava'!C48</f>
        <v>RAM/RTK</v>
      </c>
      <c r="C109" s="974" t="str">
        <f>'kuni 2025 detsember tegevuskava'!I49</f>
        <v>Olemasoleva majandustarkvara SAP toote tugi lõpeb 2028dal aastal</v>
      </c>
      <c r="D109" s="977" t="str">
        <f>'kuni 2025 detsember tegevuskava'!J49</f>
        <v>Uue majandustarkvara juurutamine*</v>
      </c>
      <c r="E109" s="977" t="str">
        <f>'kuni 2025 detsember tegevuskava'!K49</f>
        <v>Olemasolev baasrahastus</v>
      </c>
      <c r="F109" s="980" t="str">
        <f>'kuni 2025 detsember tegevuskava'!P49&amp;""</f>
        <v>Baaseelarve</v>
      </c>
      <c r="G109" s="875"/>
      <c r="H109" s="167" cm="1">
        <f t="array" ref="H109">_xlfn.IFS(OR('kuni 2025 detsember tegevuskava'!P49='kuni 2025 detsember tegevuskava'!$P$61,'kuni 2025 detsember tegevuskava'!P49='kuni 2025 detsember tegevuskava'!$P$63,'kuni 2025 detsember tegevuskava'!P49='kuni 2025 detsember tegevuskava'!$P$64,'kuni 2025 detsember tegevuskava'!P49='kuni 2025 detsember tegevuskava'!$P$65),1,'kuni 2025 detsember tegevuskava'!P49='kuni 2025 detsember tegevuskava'!$P$66,2,'kuni 2025 detsember tegevuskava'!P49='kuni 2025 detsember tegevuskava'!$P$67,2,'kuni 2025 detsember tegevuskava'!P49='kuni 2025 detsember tegevuskava'!$P$62,3)</f>
        <v>1</v>
      </c>
      <c r="I109" s="118">
        <f>SUM(I110:I110)</f>
        <v>400000</v>
      </c>
      <c r="J109" s="119"/>
      <c r="K109" s="74">
        <f>SUM(K110:K110)</f>
        <v>0</v>
      </c>
      <c r="L109" s="76"/>
      <c r="M109" s="118">
        <f>SUM(M110:M110)</f>
        <v>0</v>
      </c>
      <c r="N109" s="119"/>
      <c r="O109" s="74">
        <f>SUM(O110:O110)</f>
        <v>400000</v>
      </c>
      <c r="P109" s="78"/>
    </row>
    <row r="110" spans="2:16" ht="17.25" x14ac:dyDescent="0.25">
      <c r="B110" s="975"/>
      <c r="C110" s="975"/>
      <c r="D110" s="978"/>
      <c r="E110" s="978"/>
      <c r="F110" s="981"/>
      <c r="G110" s="864"/>
      <c r="H110" s="867"/>
      <c r="I110" s="93">
        <f>SUM(K110+M110+O110)</f>
        <v>400000</v>
      </c>
      <c r="J110" s="94" t="str">
        <f>"(15)"</f>
        <v>(15)</v>
      </c>
      <c r="K110" s="874">
        <f>'kuni 2025 detsember tegevuskava'!X49</f>
        <v>0</v>
      </c>
      <c r="L110" s="873" t="str">
        <f>"(15)"</f>
        <v>(15)</v>
      </c>
      <c r="M110" s="93">
        <f>'kuni 2025 detsember tegevuskava'!AA49</f>
        <v>0</v>
      </c>
      <c r="N110" s="94" t="str">
        <f>"(15)"</f>
        <v>(15)</v>
      </c>
      <c r="O110" s="874">
        <f>'kuni 2025 detsember tegevuskava'!AD49</f>
        <v>400000</v>
      </c>
      <c r="P110" s="80" t="str">
        <f>"(15)"</f>
        <v>(15)</v>
      </c>
    </row>
    <row r="111" spans="2:16" ht="17.25" x14ac:dyDescent="0.25">
      <c r="B111" s="975"/>
      <c r="C111" s="975"/>
      <c r="D111" s="978"/>
      <c r="E111" s="978"/>
      <c r="F111" s="981"/>
      <c r="G111" s="864"/>
      <c r="H111" s="867"/>
      <c r="I111" s="162" t="s">
        <v>438</v>
      </c>
      <c r="J111" s="855"/>
      <c r="K111" s="855"/>
      <c r="L111" s="855"/>
      <c r="M111" s="855"/>
      <c r="N111" s="855"/>
      <c r="O111" s="855"/>
      <c r="P111" s="872"/>
    </row>
    <row r="112" spans="2:16" ht="17.25" x14ac:dyDescent="0.25">
      <c r="B112" s="975"/>
      <c r="C112" s="975"/>
      <c r="D112" s="978"/>
      <c r="E112" s="978"/>
      <c r="F112" s="981"/>
      <c r="G112" s="864"/>
      <c r="H112" s="867"/>
      <c r="I112" s="159">
        <f>SUM(I113:I113)</f>
        <v>488000</v>
      </c>
      <c r="J112" s="94"/>
      <c r="K112" s="858">
        <f>SUM(K113:K113)</f>
        <v>0</v>
      </c>
      <c r="L112" s="859"/>
      <c r="M112" s="159">
        <f>SUM(M113:M113)</f>
        <v>0</v>
      </c>
      <c r="N112" s="149"/>
      <c r="O112" s="159">
        <f>SUM(O113:O113)</f>
        <v>488000</v>
      </c>
      <c r="P112" s="857"/>
    </row>
    <row r="113" spans="2:16" ht="18" thickBot="1" x14ac:dyDescent="0.3">
      <c r="B113" s="976"/>
      <c r="C113" s="976"/>
      <c r="D113" s="979"/>
      <c r="E113" s="979"/>
      <c r="F113" s="982"/>
      <c r="G113" s="869"/>
      <c r="H113" s="166"/>
      <c r="I113" s="116">
        <f>SUM(K113+M113+O113)</f>
        <v>488000</v>
      </c>
      <c r="J113" s="117" t="str">
        <f>"(15)"</f>
        <v>(15)</v>
      </c>
      <c r="K113" s="86">
        <f>SUM(K110*1.2)</f>
        <v>0</v>
      </c>
      <c r="L113" s="87" t="str">
        <f>"(15)"</f>
        <v>(15)</v>
      </c>
      <c r="M113" s="116">
        <f>SUM(M110*1.22)</f>
        <v>0</v>
      </c>
      <c r="N113" s="117" t="str">
        <f>"(15)"</f>
        <v>(15)</v>
      </c>
      <c r="O113" s="116">
        <f>SUM(O110*1.22)</f>
        <v>488000</v>
      </c>
      <c r="P113" s="89" t="str">
        <f>"(15)"</f>
        <v>(15)</v>
      </c>
    </row>
    <row r="115" spans="2:16" ht="97.5" customHeight="1" x14ac:dyDescent="0.25">
      <c r="B115" s="954" t="s">
        <v>529</v>
      </c>
      <c r="C115" s="954"/>
      <c r="D115" s="954"/>
      <c r="E115" s="954"/>
      <c r="F115" s="954"/>
    </row>
    <row r="117" spans="2:16" x14ac:dyDescent="0.25">
      <c r="B117" s="1" t="s">
        <v>530</v>
      </c>
    </row>
    <row r="118" spans="2:16" x14ac:dyDescent="0.25">
      <c r="B118" s="1" t="s">
        <v>531</v>
      </c>
    </row>
    <row r="119" spans="2:16" x14ac:dyDescent="0.2">
      <c r="B119" s="989" t="s">
        <v>532</v>
      </c>
    </row>
  </sheetData>
  <mergeCells count="94">
    <mergeCell ref="F99:F103"/>
    <mergeCell ref="F104:F108"/>
    <mergeCell ref="F109:F113"/>
    <mergeCell ref="F74:F78"/>
    <mergeCell ref="F79:F83"/>
    <mergeCell ref="F84:F88"/>
    <mergeCell ref="F89:F93"/>
    <mergeCell ref="F94:F98"/>
    <mergeCell ref="F47:F51"/>
    <mergeCell ref="F52:F56"/>
    <mergeCell ref="F57:F63"/>
    <mergeCell ref="F64:F68"/>
    <mergeCell ref="F69:F73"/>
    <mergeCell ref="E74:E78"/>
    <mergeCell ref="E79:E83"/>
    <mergeCell ref="E84:E88"/>
    <mergeCell ref="E89:E93"/>
    <mergeCell ref="E94:E98"/>
    <mergeCell ref="E47:E51"/>
    <mergeCell ref="E52:E56"/>
    <mergeCell ref="E57:E63"/>
    <mergeCell ref="E64:E68"/>
    <mergeCell ref="E69:E73"/>
    <mergeCell ref="D99:D103"/>
    <mergeCell ref="D104:D108"/>
    <mergeCell ref="D109:D113"/>
    <mergeCell ref="E104:E108"/>
    <mergeCell ref="E109:E113"/>
    <mergeCell ref="E99:E103"/>
    <mergeCell ref="D74:D78"/>
    <mergeCell ref="D79:D83"/>
    <mergeCell ref="D84:D88"/>
    <mergeCell ref="D89:D93"/>
    <mergeCell ref="D94:D98"/>
    <mergeCell ref="D47:D51"/>
    <mergeCell ref="D52:D56"/>
    <mergeCell ref="D57:D63"/>
    <mergeCell ref="D64:D68"/>
    <mergeCell ref="D69:D73"/>
    <mergeCell ref="C74:C78"/>
    <mergeCell ref="C79:C83"/>
    <mergeCell ref="C84:C88"/>
    <mergeCell ref="C89:C93"/>
    <mergeCell ref="C94:C98"/>
    <mergeCell ref="C47:C51"/>
    <mergeCell ref="C52:C56"/>
    <mergeCell ref="C57:C63"/>
    <mergeCell ref="C64:C68"/>
    <mergeCell ref="C69:C73"/>
    <mergeCell ref="B99:B103"/>
    <mergeCell ref="B104:B108"/>
    <mergeCell ref="B109:B113"/>
    <mergeCell ref="C104:C108"/>
    <mergeCell ref="C109:C113"/>
    <mergeCell ref="C99:C103"/>
    <mergeCell ref="B74:B78"/>
    <mergeCell ref="B79:B83"/>
    <mergeCell ref="B84:B88"/>
    <mergeCell ref="B89:B93"/>
    <mergeCell ref="B94:B98"/>
    <mergeCell ref="B47:B51"/>
    <mergeCell ref="B52:B56"/>
    <mergeCell ref="B57:B63"/>
    <mergeCell ref="B64:B68"/>
    <mergeCell ref="B69:B73"/>
    <mergeCell ref="D29:D30"/>
    <mergeCell ref="F29:H30"/>
    <mergeCell ref="I29:J29"/>
    <mergeCell ref="B35:B39"/>
    <mergeCell ref="B40:B46"/>
    <mergeCell ref="C35:C39"/>
    <mergeCell ref="C40:C46"/>
    <mergeCell ref="D35:D39"/>
    <mergeCell ref="D40:D46"/>
    <mergeCell ref="E35:E39"/>
    <mergeCell ref="E40:E46"/>
    <mergeCell ref="F35:F39"/>
    <mergeCell ref="F40:F46"/>
    <mergeCell ref="B115:F115"/>
    <mergeCell ref="B7:P7"/>
    <mergeCell ref="B10:P10"/>
    <mergeCell ref="B2:P2"/>
    <mergeCell ref="Q15:AA15"/>
    <mergeCell ref="Q16:AA16"/>
    <mergeCell ref="Q17:AA17"/>
    <mergeCell ref="M29:N29"/>
    <mergeCell ref="I30:J30"/>
    <mergeCell ref="K30:L30"/>
    <mergeCell ref="M30:N30"/>
    <mergeCell ref="K29:L29"/>
    <mergeCell ref="O29:P29"/>
    <mergeCell ref="O30:P30"/>
    <mergeCell ref="B29:B30"/>
    <mergeCell ref="C29:C30"/>
  </mergeCells>
  <pageMargins left="0.25" right="0.25" top="0.75" bottom="0.75" header="0.3" footer="0.3"/>
  <pageSetup paperSize="9" scale="6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E545-E0D1-4371-961D-E73B47A55E20}">
  <dimension ref="A2:I186"/>
  <sheetViews>
    <sheetView zoomScale="85" zoomScaleNormal="85" workbookViewId="0">
      <selection activeCell="B46" sqref="B46"/>
    </sheetView>
  </sheetViews>
  <sheetFormatPr defaultColWidth="9.28515625" defaultRowHeight="15" x14ac:dyDescent="0.25"/>
  <cols>
    <col min="1" max="1" width="9.28515625" style="1"/>
    <col min="2" max="2" width="29.7109375" style="1" customWidth="1"/>
    <col min="3" max="5" width="18" style="1" customWidth="1"/>
    <col min="6" max="6" width="18.28515625" style="1" customWidth="1"/>
    <col min="7" max="7" width="12.28515625" style="1" customWidth="1"/>
    <col min="8" max="8" width="12.7109375" style="1" customWidth="1"/>
    <col min="9" max="9" width="11.7109375" style="1" customWidth="1"/>
    <col min="10" max="10" width="11.5703125" style="1" customWidth="1"/>
    <col min="11" max="11" width="13.28515625" style="1" customWidth="1"/>
    <col min="12" max="12" width="11.7109375" style="1" customWidth="1"/>
    <col min="13" max="22" width="9.28515625" style="1"/>
    <col min="23" max="23" width="12.28515625" style="1" bestFit="1" customWidth="1"/>
    <col min="24" max="16384" width="9.28515625" style="1"/>
  </cols>
  <sheetData>
    <row r="2" spans="1:8" ht="18.75" x14ac:dyDescent="0.25">
      <c r="A2" s="111" t="s">
        <v>345</v>
      </c>
      <c r="B2" s="111"/>
    </row>
    <row r="4" spans="1:8" x14ac:dyDescent="0.25">
      <c r="B4" s="177" t="s">
        <v>439</v>
      </c>
      <c r="C4" s="983" t="s">
        <v>440</v>
      </c>
      <c r="D4" s="983"/>
      <c r="E4" s="983"/>
      <c r="F4" s="983"/>
    </row>
    <row r="5" spans="1:8" x14ac:dyDescent="0.25">
      <c r="B5" s="177"/>
      <c r="C5" s="176" t="s">
        <v>441</v>
      </c>
      <c r="D5" s="176" t="s">
        <v>442</v>
      </c>
      <c r="E5" s="176" t="s">
        <v>443</v>
      </c>
      <c r="F5" s="176" t="s">
        <v>444</v>
      </c>
    </row>
    <row r="6" spans="1:8" x14ac:dyDescent="0.25">
      <c r="B6" s="177" t="s">
        <v>445</v>
      </c>
      <c r="C6" s="178">
        <f>SUM(C7:C9)</f>
        <v>47546970.370000005</v>
      </c>
      <c r="D6" s="178">
        <f t="shared" ref="D6:E6" si="0">SUM(D7:D9)</f>
        <v>32717186.690000005</v>
      </c>
      <c r="E6" s="178">
        <f t="shared" si="0"/>
        <v>14829783.679999998</v>
      </c>
      <c r="F6" s="179">
        <f>SUM(D6/C6)</f>
        <v>0.68810244765128248</v>
      </c>
    </row>
    <row r="7" spans="1:8" x14ac:dyDescent="0.25">
      <c r="B7" s="157" t="s">
        <v>446</v>
      </c>
      <c r="C7" s="180">
        <f>+'[1]Aire2023 täitmine'!F3</f>
        <v>36298395</v>
      </c>
      <c r="D7" s="180">
        <f>+'[1]Aire2023 täitmine'!G3</f>
        <v>22924884.470000003</v>
      </c>
      <c r="E7" s="180">
        <f>SUM(C7-D7)</f>
        <v>13373510.529999997</v>
      </c>
      <c r="F7" s="181">
        <f>SUM(D7/C7)</f>
        <v>0.63156744175603363</v>
      </c>
      <c r="G7" s="112"/>
      <c r="H7" s="113"/>
    </row>
    <row r="8" spans="1:8" x14ac:dyDescent="0.25">
      <c r="B8" s="157" t="s">
        <v>447</v>
      </c>
      <c r="C8" s="180">
        <f>+'[1]Aire2023 täitmine'!F22</f>
        <v>3616940.6300000004</v>
      </c>
      <c r="D8" s="180">
        <f>+'[1]Aire2023 täitmine'!G22</f>
        <v>3616940.48</v>
      </c>
      <c r="E8" s="180">
        <f>SUM(C8-D8)</f>
        <v>0.15000000037252903</v>
      </c>
      <c r="F8" s="181">
        <f>SUM(D8/C8)</f>
        <v>0.999999958528487</v>
      </c>
      <c r="G8" s="112"/>
    </row>
    <row r="9" spans="1:8" x14ac:dyDescent="0.25">
      <c r="B9" s="157" t="s">
        <v>448</v>
      </c>
      <c r="C9" s="180">
        <f>+'[1]Aire2023 täitmine'!F33</f>
        <v>7631634.7400000002</v>
      </c>
      <c r="D9" s="180">
        <f>+'[1]Aire2023 täitmine'!G33</f>
        <v>6175361.7400000002</v>
      </c>
      <c r="E9" s="180">
        <f>SUM(C9-D9)</f>
        <v>1456273</v>
      </c>
      <c r="F9" s="181">
        <f>SUM(D9/C9)</f>
        <v>0.80917941573288665</v>
      </c>
    </row>
    <row r="18" spans="1:6" x14ac:dyDescent="0.25">
      <c r="B18" s="984" t="s">
        <v>449</v>
      </c>
      <c r="C18" s="983" t="s">
        <v>440</v>
      </c>
      <c r="D18" s="983"/>
      <c r="E18" s="983"/>
      <c r="F18" s="983"/>
    </row>
    <row r="19" spans="1:6" x14ac:dyDescent="0.25">
      <c r="B19" s="984"/>
      <c r="C19" s="176" t="s">
        <v>441</v>
      </c>
      <c r="D19" s="176" t="s">
        <v>442</v>
      </c>
      <c r="E19" s="176" t="s">
        <v>443</v>
      </c>
      <c r="F19" s="176" t="s">
        <v>444</v>
      </c>
    </row>
    <row r="20" spans="1:6" x14ac:dyDescent="0.25">
      <c r="B20" s="177" t="s">
        <v>445</v>
      </c>
      <c r="C20" s="178">
        <f>SUM(C21:C23)</f>
        <v>47546970.370000005</v>
      </c>
      <c r="D20" s="178">
        <f>SUM(D21:D23)</f>
        <v>32717186.689999998</v>
      </c>
      <c r="E20" s="178">
        <f>SUM(E21:E23)</f>
        <v>14829783.680000005</v>
      </c>
      <c r="F20" s="179">
        <f>SUM(D20/C20)</f>
        <v>0.68810244765128226</v>
      </c>
    </row>
    <row r="21" spans="1:6" x14ac:dyDescent="0.25">
      <c r="B21" s="157" t="s">
        <v>450</v>
      </c>
      <c r="C21" s="180">
        <f>+'[1]Aire2023 täitmine'!F62</f>
        <v>26913355</v>
      </c>
      <c r="D21" s="180">
        <f>+'[1]Aire2023 täitmine'!G62</f>
        <v>16848106.339999996</v>
      </c>
      <c r="E21" s="180">
        <f>SUM(C21-D21)</f>
        <v>10065248.660000004</v>
      </c>
      <c r="F21" s="181">
        <f>SUM(D21/C21)</f>
        <v>0.62601286015808866</v>
      </c>
    </row>
    <row r="22" spans="1:6" x14ac:dyDescent="0.25">
      <c r="B22" s="157" t="s">
        <v>451</v>
      </c>
      <c r="C22" s="180">
        <f>+'[1]Aire2023 täitmine'!F85</f>
        <v>10330713.59</v>
      </c>
      <c r="D22" s="180">
        <f>+'[1]Aire2023 täitmine'!G85</f>
        <v>9143042.3599999975</v>
      </c>
      <c r="E22" s="180">
        <f>SUM(C22-D22)</f>
        <v>1187671.2300000023</v>
      </c>
      <c r="F22" s="181">
        <f>SUM(D22/C22)</f>
        <v>0.88503492816317619</v>
      </c>
    </row>
    <row r="23" spans="1:6" x14ac:dyDescent="0.25">
      <c r="B23" s="157" t="s">
        <v>452</v>
      </c>
      <c r="C23" s="180">
        <f>+'[1]Aire2023 täitmine'!F78</f>
        <v>10302901.779999999</v>
      </c>
      <c r="D23" s="180">
        <f>+'[1]Aire2023 täitmine'!G78</f>
        <v>6726037.9900000002</v>
      </c>
      <c r="E23" s="180">
        <f>SUM(C23-D23)</f>
        <v>3576863.7899999991</v>
      </c>
      <c r="F23" s="181">
        <f>SUM(D23/C23)</f>
        <v>0.65282947791044565</v>
      </c>
    </row>
    <row r="32" spans="1:6" ht="18.75" x14ac:dyDescent="0.25">
      <c r="A32" s="111" t="s">
        <v>453</v>
      </c>
      <c r="B32" s="111"/>
    </row>
    <row r="34" spans="1:3" x14ac:dyDescent="0.25">
      <c r="B34" s="182" t="s">
        <v>439</v>
      </c>
      <c r="C34" s="176">
        <v>2024</v>
      </c>
    </row>
    <row r="35" spans="1:3" x14ac:dyDescent="0.25">
      <c r="B35" s="182" t="s">
        <v>333</v>
      </c>
      <c r="C35" s="178">
        <f>SUM(C36:C38)</f>
        <v>58780958</v>
      </c>
    </row>
    <row r="36" spans="1:3" x14ac:dyDescent="0.25">
      <c r="B36" s="157" t="s">
        <v>446</v>
      </c>
      <c r="C36" s="180">
        <f>+'[1]Aire2024 eelarve'!F4</f>
        <v>50243492</v>
      </c>
    </row>
    <row r="37" spans="1:3" x14ac:dyDescent="0.25">
      <c r="B37" s="157" t="s">
        <v>447</v>
      </c>
      <c r="C37" s="180">
        <f>+'[1]Aire2024 eelarve'!F15</f>
        <v>6304193</v>
      </c>
    </row>
    <row r="38" spans="1:3" x14ac:dyDescent="0.25">
      <c r="B38" s="157" t="s">
        <v>448</v>
      </c>
      <c r="C38" s="180">
        <f>+'[1]Aire2024 eelarve'!F29</f>
        <v>2233273</v>
      </c>
    </row>
    <row r="40" spans="1:3" x14ac:dyDescent="0.25">
      <c r="B40" s="182" t="s">
        <v>454</v>
      </c>
      <c r="C40" s="176">
        <v>2024</v>
      </c>
    </row>
    <row r="41" spans="1:3" x14ac:dyDescent="0.25">
      <c r="B41" s="182" t="s">
        <v>333</v>
      </c>
      <c r="C41" s="178">
        <f>SUM(C42:C44)</f>
        <v>58780958</v>
      </c>
    </row>
    <row r="42" spans="1:3" x14ac:dyDescent="0.25">
      <c r="B42" s="157" t="s">
        <v>450</v>
      </c>
      <c r="C42" s="180">
        <f>+'[1]Aire2024 eelarve'!F40</f>
        <v>33454224</v>
      </c>
    </row>
    <row r="43" spans="1:3" x14ac:dyDescent="0.25">
      <c r="B43" s="157" t="s">
        <v>451</v>
      </c>
      <c r="C43" s="180">
        <f>+'[1]Aire2024 eelarve'!F59</f>
        <v>12305926</v>
      </c>
    </row>
    <row r="44" spans="1:3" x14ac:dyDescent="0.25">
      <c r="B44" s="157" t="s">
        <v>452</v>
      </c>
      <c r="C44" s="180">
        <f>+'[1]Aire2024 eelarve'!F49</f>
        <v>13020808</v>
      </c>
    </row>
    <row r="46" spans="1:3" ht="59.65" customHeight="1" x14ac:dyDescent="0.25"/>
    <row r="47" spans="1:3" ht="18.75" x14ac:dyDescent="0.25">
      <c r="A47" s="111" t="s">
        <v>455</v>
      </c>
    </row>
    <row r="49" spans="2:9" x14ac:dyDescent="0.25">
      <c r="B49" s="121"/>
      <c r="C49" s="185"/>
      <c r="D49" s="185"/>
    </row>
    <row r="50" spans="2:9" ht="18" x14ac:dyDescent="0.25">
      <c r="B50" s="182"/>
      <c r="C50" s="187">
        <v>44197</v>
      </c>
      <c r="D50" s="187">
        <v>44562</v>
      </c>
      <c r="E50" s="187">
        <v>44927</v>
      </c>
      <c r="F50" s="187">
        <v>45292</v>
      </c>
      <c r="G50" s="176" t="s">
        <v>456</v>
      </c>
      <c r="H50" s="176" t="s">
        <v>457</v>
      </c>
      <c r="I50" s="176" t="s">
        <v>458</v>
      </c>
    </row>
    <row r="51" spans="2:9" x14ac:dyDescent="0.25">
      <c r="B51" s="184" t="s">
        <v>459</v>
      </c>
      <c r="C51" s="180">
        <v>281</v>
      </c>
      <c r="D51" s="180">
        <v>277</v>
      </c>
      <c r="E51" s="180">
        <v>274</v>
      </c>
      <c r="F51" s="180">
        <v>289</v>
      </c>
      <c r="G51" s="180">
        <v>331</v>
      </c>
      <c r="H51" s="180">
        <v>333</v>
      </c>
      <c r="I51" s="180">
        <v>334</v>
      </c>
    </row>
    <row r="52" spans="2:9" ht="25.5" x14ac:dyDescent="0.25">
      <c r="B52" s="184" t="s">
        <v>460</v>
      </c>
      <c r="C52" s="184">
        <v>0</v>
      </c>
      <c r="D52" s="191">
        <f t="shared" ref="D52:I52" si="1">SUM(((D51/C51)*100)-100)</f>
        <v>-1.4234875444839759</v>
      </c>
      <c r="E52" s="191">
        <f t="shared" si="1"/>
        <v>-1.0830324909747304</v>
      </c>
      <c r="F52" s="191">
        <f t="shared" si="1"/>
        <v>5.4744525547445306</v>
      </c>
      <c r="G52" s="191">
        <f t="shared" si="1"/>
        <v>14.532871972318333</v>
      </c>
      <c r="H52" s="191">
        <f t="shared" si="1"/>
        <v>0.60422960725074404</v>
      </c>
      <c r="I52" s="191">
        <f t="shared" si="1"/>
        <v>0.3003003003003073</v>
      </c>
    </row>
    <row r="53" spans="2:9" x14ac:dyDescent="0.25">
      <c r="B53" s="985" t="s">
        <v>461</v>
      </c>
      <c r="C53" s="986"/>
      <c r="D53" s="986"/>
      <c r="E53" s="986"/>
      <c r="F53" s="986"/>
      <c r="G53" s="986"/>
      <c r="H53" s="986"/>
      <c r="I53" s="987"/>
    </row>
    <row r="54" spans="2:9" x14ac:dyDescent="0.25">
      <c r="B54" s="186"/>
      <c r="C54" s="186"/>
      <c r="D54" s="186"/>
      <c r="E54" s="186"/>
      <c r="F54" s="186"/>
      <c r="G54" s="186"/>
      <c r="H54" s="186"/>
    </row>
    <row r="55" spans="2:9" ht="14.65" customHeight="1" x14ac:dyDescent="0.25">
      <c r="B55" s="186"/>
      <c r="C55" s="186"/>
      <c r="D55" s="186"/>
      <c r="E55" s="186"/>
      <c r="F55" s="186"/>
      <c r="G55" s="186"/>
      <c r="H55" s="186"/>
    </row>
    <row r="56" spans="2:9" x14ac:dyDescent="0.25">
      <c r="B56" s="186"/>
      <c r="C56" s="186"/>
      <c r="D56" s="186"/>
      <c r="E56" s="192"/>
      <c r="F56" s="192"/>
      <c r="G56" s="192"/>
      <c r="H56" s="192"/>
      <c r="I56" s="192"/>
    </row>
    <row r="57" spans="2:9" x14ac:dyDescent="0.25">
      <c r="B57" s="186"/>
      <c r="C57" s="186"/>
      <c r="D57" s="186"/>
      <c r="E57" s="186"/>
      <c r="F57" s="186"/>
      <c r="G57" s="186"/>
      <c r="H57" s="186"/>
    </row>
    <row r="58" spans="2:9" x14ac:dyDescent="0.25">
      <c r="B58" s="186"/>
      <c r="C58" s="186"/>
      <c r="D58" s="186"/>
      <c r="E58" s="186"/>
      <c r="F58" s="186"/>
      <c r="G58" s="186"/>
      <c r="H58" s="186"/>
    </row>
    <row r="59" spans="2:9" x14ac:dyDescent="0.25">
      <c r="B59" s="186"/>
      <c r="C59" s="186"/>
      <c r="D59" s="186"/>
      <c r="E59" s="186"/>
      <c r="F59" s="186"/>
      <c r="G59" s="186"/>
      <c r="H59" s="186"/>
    </row>
    <row r="60" spans="2:9" x14ac:dyDescent="0.25">
      <c r="B60" s="186"/>
      <c r="C60" s="186"/>
      <c r="D60" s="186"/>
      <c r="E60" s="186"/>
      <c r="F60" s="186"/>
      <c r="G60" s="186"/>
      <c r="H60" s="186"/>
    </row>
    <row r="61" spans="2:9" x14ac:dyDescent="0.25">
      <c r="B61" s="186"/>
      <c r="C61" s="186"/>
      <c r="D61" s="186"/>
      <c r="E61" s="186"/>
      <c r="F61" s="186"/>
      <c r="G61" s="186"/>
      <c r="H61" s="186"/>
    </row>
    <row r="62" spans="2:9" x14ac:dyDescent="0.25">
      <c r="B62" s="186"/>
      <c r="C62" s="186"/>
      <c r="D62" s="186"/>
      <c r="E62" s="186"/>
      <c r="F62" s="186"/>
      <c r="G62" s="186"/>
      <c r="H62" s="186"/>
    </row>
    <row r="63" spans="2:9" x14ac:dyDescent="0.25">
      <c r="B63" s="186"/>
      <c r="C63" s="186"/>
      <c r="D63" s="186"/>
      <c r="E63" s="186"/>
      <c r="F63" s="186"/>
      <c r="G63" s="186"/>
      <c r="H63" s="186"/>
    </row>
    <row r="64" spans="2:9" x14ac:dyDescent="0.25">
      <c r="B64" s="186"/>
      <c r="C64" s="186"/>
      <c r="D64" s="186"/>
      <c r="E64" s="186"/>
      <c r="F64" s="186"/>
      <c r="G64" s="186"/>
      <c r="H64" s="186"/>
    </row>
    <row r="65" spans="2:8" x14ac:dyDescent="0.25">
      <c r="B65" s="186"/>
      <c r="C65" s="186"/>
      <c r="D65" s="186"/>
      <c r="E65" s="186"/>
      <c r="F65" s="186"/>
      <c r="G65" s="186"/>
      <c r="H65" s="186"/>
    </row>
    <row r="66" spans="2:8" x14ac:dyDescent="0.25">
      <c r="B66" s="186"/>
      <c r="C66" s="186"/>
      <c r="D66" s="186"/>
      <c r="E66" s="186"/>
      <c r="F66" s="186"/>
      <c r="G66" s="186"/>
      <c r="H66" s="186"/>
    </row>
    <row r="67" spans="2:8" x14ac:dyDescent="0.25">
      <c r="B67" s="121" t="s">
        <v>462</v>
      </c>
      <c r="C67" s="983" t="s">
        <v>463</v>
      </c>
      <c r="D67" s="988"/>
      <c r="E67" s="988"/>
      <c r="F67" s="983" t="s">
        <v>464</v>
      </c>
      <c r="G67" s="988"/>
      <c r="H67" s="988"/>
    </row>
    <row r="68" spans="2:8" x14ac:dyDescent="0.25">
      <c r="B68" s="182" t="s">
        <v>465</v>
      </c>
      <c r="C68" s="188" t="s">
        <v>466</v>
      </c>
      <c r="D68" s="189" t="s">
        <v>467</v>
      </c>
      <c r="E68" s="189" t="s">
        <v>333</v>
      </c>
      <c r="F68" s="188" t="s">
        <v>466</v>
      </c>
      <c r="G68" s="189" t="s">
        <v>467</v>
      </c>
      <c r="H68" s="189" t="s">
        <v>333</v>
      </c>
    </row>
    <row r="69" spans="2:8" x14ac:dyDescent="0.25">
      <c r="B69" s="538" t="s">
        <v>333</v>
      </c>
      <c r="C69" s="183">
        <f>SUM(C70:C94)</f>
        <v>142</v>
      </c>
      <c r="D69" s="183">
        <f t="shared" ref="D69:E69" si="2">SUM(D70:D94)</f>
        <v>12</v>
      </c>
      <c r="E69" s="183">
        <f t="shared" si="2"/>
        <v>154</v>
      </c>
      <c r="F69" s="183">
        <f>SUM(F70:F94)</f>
        <v>152</v>
      </c>
      <c r="G69" s="183">
        <f t="shared" ref="G69:H69" si="3">SUM(G70:G94)</f>
        <v>16</v>
      </c>
      <c r="H69" s="183">
        <f t="shared" si="3"/>
        <v>168</v>
      </c>
    </row>
    <row r="70" spans="2:8" x14ac:dyDescent="0.25">
      <c r="B70" s="158" t="s">
        <v>468</v>
      </c>
      <c r="C70" s="180">
        <v>0</v>
      </c>
      <c r="D70" s="180">
        <v>0</v>
      </c>
      <c r="E70" s="168">
        <f t="shared" ref="E70:E94" si="4">SUM(C70:D70)</f>
        <v>0</v>
      </c>
      <c r="F70" s="180">
        <v>1</v>
      </c>
      <c r="G70" s="180">
        <v>0</v>
      </c>
      <c r="H70" s="168">
        <f t="shared" ref="H70:H94" si="5">SUM(F70:G70)</f>
        <v>1</v>
      </c>
    </row>
    <row r="71" spans="2:8" x14ac:dyDescent="0.25">
      <c r="B71" s="158" t="s">
        <v>469</v>
      </c>
      <c r="C71" s="180">
        <v>24</v>
      </c>
      <c r="D71" s="180">
        <v>1</v>
      </c>
      <c r="E71" s="168">
        <f t="shared" si="4"/>
        <v>25</v>
      </c>
      <c r="F71" s="180">
        <v>7</v>
      </c>
      <c r="G71" s="180">
        <v>1</v>
      </c>
      <c r="H71" s="168">
        <f t="shared" si="5"/>
        <v>8</v>
      </c>
    </row>
    <row r="72" spans="2:8" x14ac:dyDescent="0.25">
      <c r="B72" s="158" t="s">
        <v>470</v>
      </c>
      <c r="C72" s="180">
        <v>34</v>
      </c>
      <c r="D72" s="180">
        <v>1</v>
      </c>
      <c r="E72" s="168">
        <f t="shared" si="4"/>
        <v>35</v>
      </c>
      <c r="F72" s="180">
        <v>8</v>
      </c>
      <c r="G72" s="180">
        <v>1</v>
      </c>
      <c r="H72" s="168">
        <f t="shared" si="5"/>
        <v>9</v>
      </c>
    </row>
    <row r="73" spans="2:8" x14ac:dyDescent="0.25">
      <c r="B73" s="158" t="s">
        <v>471</v>
      </c>
      <c r="C73" s="180">
        <v>0</v>
      </c>
      <c r="D73" s="180">
        <v>0</v>
      </c>
      <c r="E73" s="168">
        <f t="shared" si="4"/>
        <v>0</v>
      </c>
      <c r="F73" s="180">
        <v>1</v>
      </c>
      <c r="G73" s="180">
        <v>0</v>
      </c>
      <c r="H73" s="168">
        <f t="shared" si="5"/>
        <v>1</v>
      </c>
    </row>
    <row r="74" spans="2:8" x14ac:dyDescent="0.25">
      <c r="B74" s="158" t="s">
        <v>472</v>
      </c>
      <c r="C74" s="180">
        <v>26</v>
      </c>
      <c r="D74" s="180">
        <v>2</v>
      </c>
      <c r="E74" s="168">
        <f t="shared" si="4"/>
        <v>28</v>
      </c>
      <c r="F74" s="180">
        <v>19</v>
      </c>
      <c r="G74" s="180">
        <v>2</v>
      </c>
      <c r="H74" s="168">
        <f t="shared" si="5"/>
        <v>21</v>
      </c>
    </row>
    <row r="75" spans="2:8" x14ac:dyDescent="0.25">
      <c r="B75" s="158" t="s">
        <v>473</v>
      </c>
      <c r="C75" s="180">
        <v>9</v>
      </c>
      <c r="D75" s="180">
        <v>2</v>
      </c>
      <c r="E75" s="168">
        <f t="shared" si="4"/>
        <v>11</v>
      </c>
      <c r="F75" s="180">
        <v>10</v>
      </c>
      <c r="G75" s="180">
        <v>0</v>
      </c>
      <c r="H75" s="168">
        <f t="shared" si="5"/>
        <v>10</v>
      </c>
    </row>
    <row r="76" spans="2:8" x14ac:dyDescent="0.25">
      <c r="B76" s="539" t="s">
        <v>474</v>
      </c>
      <c r="C76" s="180">
        <v>0</v>
      </c>
      <c r="D76" s="180">
        <v>1</v>
      </c>
      <c r="E76" s="168">
        <f t="shared" si="4"/>
        <v>1</v>
      </c>
      <c r="F76" s="180">
        <v>4</v>
      </c>
      <c r="G76" s="180">
        <v>0</v>
      </c>
      <c r="H76" s="168">
        <f t="shared" si="5"/>
        <v>4</v>
      </c>
    </row>
    <row r="77" spans="2:8" ht="15" customHeight="1" x14ac:dyDescent="0.25">
      <c r="B77" s="158" t="s">
        <v>475</v>
      </c>
      <c r="C77" s="180">
        <v>0</v>
      </c>
      <c r="D77" s="180">
        <v>0</v>
      </c>
      <c r="E77" s="168">
        <f t="shared" si="4"/>
        <v>0</v>
      </c>
      <c r="F77" s="180">
        <v>15</v>
      </c>
      <c r="G77" s="180">
        <v>1</v>
      </c>
      <c r="H77" s="168">
        <f t="shared" si="5"/>
        <v>16</v>
      </c>
    </row>
    <row r="78" spans="2:8" ht="15" customHeight="1" x14ac:dyDescent="0.25">
      <c r="B78" s="158" t="s">
        <v>476</v>
      </c>
      <c r="C78" s="180">
        <v>7</v>
      </c>
      <c r="D78" s="180">
        <v>0</v>
      </c>
      <c r="E78" s="168">
        <f t="shared" si="4"/>
        <v>7</v>
      </c>
      <c r="F78" s="180">
        <v>5</v>
      </c>
      <c r="G78" s="180">
        <v>2</v>
      </c>
      <c r="H78" s="168">
        <f t="shared" si="5"/>
        <v>7</v>
      </c>
    </row>
    <row r="79" spans="2:8" ht="15" customHeight="1" x14ac:dyDescent="0.25">
      <c r="B79" s="158" t="s">
        <v>477</v>
      </c>
      <c r="C79" s="180">
        <v>14</v>
      </c>
      <c r="D79" s="180">
        <v>3</v>
      </c>
      <c r="E79" s="168">
        <f t="shared" si="4"/>
        <v>17</v>
      </c>
      <c r="F79" s="180">
        <v>0</v>
      </c>
      <c r="G79" s="180">
        <v>0</v>
      </c>
      <c r="H79" s="168">
        <f t="shared" si="5"/>
        <v>0</v>
      </c>
    </row>
    <row r="80" spans="2:8" ht="15" customHeight="1" x14ac:dyDescent="0.25">
      <c r="B80" s="158" t="s">
        <v>478</v>
      </c>
      <c r="C80" s="180">
        <v>4</v>
      </c>
      <c r="D80" s="180">
        <v>1</v>
      </c>
      <c r="E80" s="168">
        <f t="shared" si="4"/>
        <v>5</v>
      </c>
      <c r="F80" s="180">
        <v>7</v>
      </c>
      <c r="G80" s="180">
        <v>3</v>
      </c>
      <c r="H80" s="168">
        <f t="shared" si="5"/>
        <v>10</v>
      </c>
    </row>
    <row r="81" spans="2:8" ht="15" customHeight="1" x14ac:dyDescent="0.25">
      <c r="B81" s="158" t="s">
        <v>479</v>
      </c>
      <c r="C81" s="180">
        <v>2</v>
      </c>
      <c r="D81" s="180">
        <v>0</v>
      </c>
      <c r="E81" s="168">
        <f t="shared" si="4"/>
        <v>2</v>
      </c>
      <c r="F81" s="180">
        <v>3</v>
      </c>
      <c r="G81" s="180">
        <v>0</v>
      </c>
      <c r="H81" s="168">
        <f t="shared" si="5"/>
        <v>3</v>
      </c>
    </row>
    <row r="82" spans="2:8" ht="15" customHeight="1" x14ac:dyDescent="0.25">
      <c r="B82" s="158" t="s">
        <v>480</v>
      </c>
      <c r="C82" s="180">
        <v>4</v>
      </c>
      <c r="D82" s="180">
        <v>0</v>
      </c>
      <c r="E82" s="168">
        <f t="shared" si="4"/>
        <v>4</v>
      </c>
      <c r="F82" s="180">
        <v>4</v>
      </c>
      <c r="G82" s="180">
        <v>0</v>
      </c>
      <c r="H82" s="168">
        <f t="shared" si="5"/>
        <v>4</v>
      </c>
    </row>
    <row r="83" spans="2:8" ht="15" customHeight="1" x14ac:dyDescent="0.25">
      <c r="B83" s="158" t="s">
        <v>481</v>
      </c>
      <c r="C83" s="180">
        <v>5</v>
      </c>
      <c r="D83" s="180">
        <v>0</v>
      </c>
      <c r="E83" s="168">
        <f t="shared" si="4"/>
        <v>5</v>
      </c>
      <c r="F83" s="180">
        <v>6</v>
      </c>
      <c r="G83" s="180">
        <v>0</v>
      </c>
      <c r="H83" s="168">
        <f t="shared" si="5"/>
        <v>6</v>
      </c>
    </row>
    <row r="84" spans="2:8" ht="15" customHeight="1" x14ac:dyDescent="0.25">
      <c r="B84" s="158" t="s">
        <v>482</v>
      </c>
      <c r="C84" s="180">
        <v>0</v>
      </c>
      <c r="D84" s="180">
        <v>0</v>
      </c>
      <c r="E84" s="168">
        <f t="shared" si="4"/>
        <v>0</v>
      </c>
      <c r="F84" s="180">
        <v>1</v>
      </c>
      <c r="G84" s="180">
        <v>0</v>
      </c>
      <c r="H84" s="168">
        <f t="shared" si="5"/>
        <v>1</v>
      </c>
    </row>
    <row r="85" spans="2:8" x14ac:dyDescent="0.25">
      <c r="B85" s="158" t="s">
        <v>483</v>
      </c>
      <c r="C85" s="180">
        <v>3</v>
      </c>
      <c r="D85" s="180">
        <v>0</v>
      </c>
      <c r="E85" s="168">
        <f t="shared" si="4"/>
        <v>3</v>
      </c>
      <c r="F85" s="180">
        <v>2</v>
      </c>
      <c r="G85" s="180">
        <v>1</v>
      </c>
      <c r="H85" s="168">
        <f t="shared" si="5"/>
        <v>3</v>
      </c>
    </row>
    <row r="86" spans="2:8" x14ac:dyDescent="0.25">
      <c r="B86" s="158" t="s">
        <v>484</v>
      </c>
      <c r="C86" s="180">
        <v>0</v>
      </c>
      <c r="D86" s="180">
        <v>0</v>
      </c>
      <c r="E86" s="168">
        <f t="shared" si="4"/>
        <v>0</v>
      </c>
      <c r="F86" s="180">
        <v>17</v>
      </c>
      <c r="G86" s="180">
        <v>2</v>
      </c>
      <c r="H86" s="168">
        <f t="shared" si="5"/>
        <v>19</v>
      </c>
    </row>
    <row r="87" spans="2:8" x14ac:dyDescent="0.25">
      <c r="B87" s="158" t="s">
        <v>485</v>
      </c>
      <c r="C87" s="180">
        <v>0</v>
      </c>
      <c r="D87" s="180">
        <v>0</v>
      </c>
      <c r="E87" s="168">
        <f t="shared" si="4"/>
        <v>0</v>
      </c>
      <c r="F87" s="180">
        <v>0</v>
      </c>
      <c r="G87" s="180">
        <v>1</v>
      </c>
      <c r="H87" s="168">
        <f t="shared" si="5"/>
        <v>1</v>
      </c>
    </row>
    <row r="88" spans="2:8" x14ac:dyDescent="0.25">
      <c r="B88" s="158" t="s">
        <v>486</v>
      </c>
      <c r="C88" s="180">
        <v>0</v>
      </c>
      <c r="D88" s="180">
        <v>0</v>
      </c>
      <c r="E88" s="168">
        <f t="shared" si="4"/>
        <v>0</v>
      </c>
      <c r="F88" s="180">
        <v>23</v>
      </c>
      <c r="G88" s="180">
        <v>1</v>
      </c>
      <c r="H88" s="168">
        <f t="shared" si="5"/>
        <v>24</v>
      </c>
    </row>
    <row r="89" spans="2:8" x14ac:dyDescent="0.25">
      <c r="B89" s="158" t="s">
        <v>487</v>
      </c>
      <c r="C89" s="180">
        <v>0</v>
      </c>
      <c r="D89" s="180">
        <v>0</v>
      </c>
      <c r="E89" s="168">
        <f t="shared" si="4"/>
        <v>0</v>
      </c>
      <c r="F89" s="180">
        <v>10</v>
      </c>
      <c r="G89" s="180">
        <v>0</v>
      </c>
      <c r="H89" s="168">
        <f t="shared" si="5"/>
        <v>10</v>
      </c>
    </row>
    <row r="90" spans="2:8" x14ac:dyDescent="0.25">
      <c r="B90" s="158" t="s">
        <v>488</v>
      </c>
      <c r="C90" s="180">
        <v>0</v>
      </c>
      <c r="D90" s="180">
        <v>0</v>
      </c>
      <c r="E90" s="168">
        <f t="shared" si="4"/>
        <v>0</v>
      </c>
      <c r="F90" s="180">
        <v>1</v>
      </c>
      <c r="G90" s="180">
        <v>0</v>
      </c>
      <c r="H90" s="168">
        <f t="shared" si="5"/>
        <v>1</v>
      </c>
    </row>
    <row r="91" spans="2:8" ht="21" customHeight="1" x14ac:dyDescent="0.25">
      <c r="B91" s="158" t="s">
        <v>489</v>
      </c>
      <c r="C91" s="180">
        <v>0</v>
      </c>
      <c r="D91" s="180">
        <v>0</v>
      </c>
      <c r="E91" s="168">
        <f t="shared" si="4"/>
        <v>0</v>
      </c>
      <c r="F91" s="180">
        <v>2</v>
      </c>
      <c r="G91" s="180">
        <v>0</v>
      </c>
      <c r="H91" s="168">
        <f t="shared" si="5"/>
        <v>2</v>
      </c>
    </row>
    <row r="92" spans="2:8" ht="22.9" customHeight="1" x14ac:dyDescent="0.25">
      <c r="B92" s="158" t="s">
        <v>490</v>
      </c>
      <c r="C92" s="180">
        <v>0</v>
      </c>
      <c r="D92" s="180">
        <v>0</v>
      </c>
      <c r="E92" s="168">
        <f t="shared" si="4"/>
        <v>0</v>
      </c>
      <c r="F92" s="169">
        <v>1</v>
      </c>
      <c r="G92" s="169">
        <v>0</v>
      </c>
      <c r="H92" s="168">
        <f t="shared" si="5"/>
        <v>1</v>
      </c>
    </row>
    <row r="93" spans="2:8" ht="22.9" customHeight="1" x14ac:dyDescent="0.25">
      <c r="B93" s="158" t="s">
        <v>491</v>
      </c>
      <c r="C93" s="180">
        <v>0</v>
      </c>
      <c r="D93" s="180">
        <v>0</v>
      </c>
      <c r="E93" s="168">
        <f t="shared" si="4"/>
        <v>0</v>
      </c>
      <c r="F93" s="180">
        <v>1</v>
      </c>
      <c r="G93" s="180">
        <v>0</v>
      </c>
      <c r="H93" s="168">
        <f t="shared" si="5"/>
        <v>1</v>
      </c>
    </row>
    <row r="94" spans="2:8" ht="22.9" customHeight="1" x14ac:dyDescent="0.25">
      <c r="B94" s="158" t="s">
        <v>492</v>
      </c>
      <c r="C94" s="180">
        <v>10</v>
      </c>
      <c r="D94" s="180">
        <v>1</v>
      </c>
      <c r="E94" s="168">
        <f t="shared" si="4"/>
        <v>11</v>
      </c>
      <c r="F94" s="180">
        <v>4</v>
      </c>
      <c r="G94" s="180">
        <v>1</v>
      </c>
      <c r="H94" s="168">
        <f t="shared" si="5"/>
        <v>5</v>
      </c>
    </row>
    <row r="95" spans="2:8" ht="22.9" customHeight="1" x14ac:dyDescent="0.25">
      <c r="B95" s="540"/>
      <c r="C95" s="185"/>
      <c r="D95" s="185"/>
      <c r="E95" s="541"/>
      <c r="F95" s="185"/>
      <c r="G95" s="185"/>
      <c r="H95" s="541"/>
    </row>
    <row r="96" spans="2:8" ht="22.9" customHeight="1" x14ac:dyDescent="0.25">
      <c r="B96" s="540"/>
      <c r="C96" s="185"/>
      <c r="D96" s="185"/>
      <c r="E96" s="541"/>
      <c r="F96" s="185"/>
      <c r="G96" s="185"/>
      <c r="H96" s="541"/>
    </row>
    <row r="97" spans="2:8" ht="22.9" customHeight="1" x14ac:dyDescent="0.25">
      <c r="B97" s="540"/>
      <c r="C97" s="185"/>
      <c r="D97" s="185"/>
      <c r="E97" s="541"/>
      <c r="F97" s="185"/>
      <c r="G97" s="185"/>
      <c r="H97" s="541"/>
    </row>
    <row r="98" spans="2:8" ht="25.9" customHeight="1" x14ac:dyDescent="0.25">
      <c r="B98" s="542"/>
      <c r="C98" s="183" t="s">
        <v>463</v>
      </c>
      <c r="D98" s="183"/>
      <c r="E98" s="543"/>
      <c r="F98" s="554" t="s">
        <v>493</v>
      </c>
      <c r="G98" s="555"/>
      <c r="H98" s="556"/>
    </row>
    <row r="99" spans="2:8" ht="13.9" customHeight="1" x14ac:dyDescent="0.25">
      <c r="B99" s="542" t="s">
        <v>465</v>
      </c>
      <c r="C99" s="183" t="s">
        <v>466</v>
      </c>
      <c r="D99" s="183" t="s">
        <v>467</v>
      </c>
      <c r="E99" s="543" t="s">
        <v>333</v>
      </c>
      <c r="F99" s="183" t="s">
        <v>466</v>
      </c>
      <c r="G99" s="183" t="s">
        <v>467</v>
      </c>
      <c r="H99" s="543" t="s">
        <v>333</v>
      </c>
    </row>
    <row r="100" spans="2:8" ht="13.9" customHeight="1" x14ac:dyDescent="0.25">
      <c r="B100" s="542" t="s">
        <v>333</v>
      </c>
      <c r="C100" s="183">
        <f>SUM(C101:C133)</f>
        <v>110</v>
      </c>
      <c r="D100" s="183">
        <f t="shared" ref="D100:H100" si="6">SUM(D101:D133)</f>
        <v>11</v>
      </c>
      <c r="E100" s="183">
        <f t="shared" si="6"/>
        <v>121</v>
      </c>
      <c r="F100" s="183">
        <f t="shared" si="6"/>
        <v>111</v>
      </c>
      <c r="G100" s="183">
        <f t="shared" si="6"/>
        <v>11</v>
      </c>
      <c r="H100" s="183">
        <f t="shared" si="6"/>
        <v>122</v>
      </c>
    </row>
    <row r="101" spans="2:8" x14ac:dyDescent="0.25">
      <c r="B101" s="544" t="s">
        <v>469</v>
      </c>
      <c r="C101" s="180">
        <v>2</v>
      </c>
      <c r="D101" s="180">
        <v>1</v>
      </c>
      <c r="E101" s="168">
        <f t="shared" ref="E101:E134" si="7">SUM(C101:D101)</f>
        <v>3</v>
      </c>
      <c r="F101" s="180">
        <v>2</v>
      </c>
      <c r="G101" s="180">
        <v>0</v>
      </c>
      <c r="H101" s="168">
        <f t="shared" ref="H101:H133" si="8">SUM(F101:G101)</f>
        <v>2</v>
      </c>
    </row>
    <row r="102" spans="2:8" x14ac:dyDescent="0.25">
      <c r="B102" s="545" t="s">
        <v>470</v>
      </c>
      <c r="C102" s="180">
        <v>5</v>
      </c>
      <c r="D102" s="180">
        <v>1</v>
      </c>
      <c r="E102" s="168">
        <f t="shared" si="7"/>
        <v>6</v>
      </c>
      <c r="F102" s="180">
        <v>5</v>
      </c>
      <c r="G102" s="180">
        <v>1</v>
      </c>
      <c r="H102" s="168">
        <f t="shared" si="8"/>
        <v>6</v>
      </c>
    </row>
    <row r="103" spans="2:8" x14ac:dyDescent="0.25">
      <c r="B103" s="545" t="s">
        <v>474</v>
      </c>
      <c r="C103" s="180">
        <v>1</v>
      </c>
      <c r="D103" s="180">
        <v>0</v>
      </c>
      <c r="E103" s="168">
        <f t="shared" si="7"/>
        <v>1</v>
      </c>
      <c r="F103" s="180">
        <v>1</v>
      </c>
      <c r="G103" s="180">
        <v>0</v>
      </c>
      <c r="H103" s="168">
        <f t="shared" si="8"/>
        <v>1</v>
      </c>
    </row>
    <row r="104" spans="2:8" x14ac:dyDescent="0.25">
      <c r="B104" s="545" t="s">
        <v>475</v>
      </c>
      <c r="C104" s="180">
        <v>14</v>
      </c>
      <c r="D104" s="180">
        <v>0</v>
      </c>
      <c r="E104" s="168">
        <f t="shared" si="7"/>
        <v>14</v>
      </c>
      <c r="F104" s="180">
        <v>9</v>
      </c>
      <c r="G104" s="180">
        <v>0</v>
      </c>
      <c r="H104" s="168">
        <f t="shared" si="8"/>
        <v>9</v>
      </c>
    </row>
    <row r="105" spans="2:8" x14ac:dyDescent="0.25">
      <c r="B105" s="545" t="s">
        <v>476</v>
      </c>
      <c r="C105" s="180">
        <v>3</v>
      </c>
      <c r="D105" s="180">
        <v>0</v>
      </c>
      <c r="E105" s="168">
        <f t="shared" si="7"/>
        <v>3</v>
      </c>
      <c r="F105" s="180">
        <v>4</v>
      </c>
      <c r="G105" s="180">
        <v>0</v>
      </c>
      <c r="H105" s="168">
        <f t="shared" si="8"/>
        <v>4</v>
      </c>
    </row>
    <row r="106" spans="2:8" x14ac:dyDescent="0.25">
      <c r="B106" s="545" t="s">
        <v>478</v>
      </c>
      <c r="C106" s="180">
        <v>2</v>
      </c>
      <c r="D106" s="180">
        <v>0</v>
      </c>
      <c r="E106" s="168">
        <f t="shared" si="7"/>
        <v>2</v>
      </c>
      <c r="F106" s="180">
        <v>2</v>
      </c>
      <c r="G106" s="180">
        <v>0</v>
      </c>
      <c r="H106" s="168">
        <f t="shared" si="8"/>
        <v>2</v>
      </c>
    </row>
    <row r="107" spans="2:8" x14ac:dyDescent="0.25">
      <c r="B107" s="545" t="s">
        <v>494</v>
      </c>
      <c r="C107" s="180">
        <v>2</v>
      </c>
      <c r="D107" s="180">
        <v>0</v>
      </c>
      <c r="E107" s="168">
        <f t="shared" si="7"/>
        <v>2</v>
      </c>
      <c r="F107" s="180">
        <v>3</v>
      </c>
      <c r="G107" s="180">
        <v>0</v>
      </c>
      <c r="H107" s="168">
        <f t="shared" si="8"/>
        <v>3</v>
      </c>
    </row>
    <row r="108" spans="2:8" x14ac:dyDescent="0.25">
      <c r="B108" s="545" t="s">
        <v>495</v>
      </c>
      <c r="C108" s="180">
        <v>3</v>
      </c>
      <c r="D108" s="180">
        <v>0</v>
      </c>
      <c r="E108" s="168">
        <f t="shared" si="7"/>
        <v>3</v>
      </c>
      <c r="F108" s="180">
        <v>6</v>
      </c>
      <c r="G108" s="180">
        <v>0</v>
      </c>
      <c r="H108" s="168">
        <f t="shared" si="8"/>
        <v>6</v>
      </c>
    </row>
    <row r="109" spans="2:8" x14ac:dyDescent="0.25">
      <c r="B109" s="545" t="s">
        <v>496</v>
      </c>
      <c r="C109" s="180">
        <v>1</v>
      </c>
      <c r="D109" s="180">
        <v>0</v>
      </c>
      <c r="E109" s="168">
        <f t="shared" si="7"/>
        <v>1</v>
      </c>
      <c r="F109" s="180">
        <v>1</v>
      </c>
      <c r="G109" s="180">
        <v>0</v>
      </c>
      <c r="H109" s="168">
        <f t="shared" si="8"/>
        <v>1</v>
      </c>
    </row>
    <row r="110" spans="2:8" x14ac:dyDescent="0.25">
      <c r="B110" s="545" t="s">
        <v>326</v>
      </c>
      <c r="C110" s="180">
        <v>1</v>
      </c>
      <c r="D110" s="180">
        <v>0</v>
      </c>
      <c r="E110" s="168">
        <f t="shared" si="7"/>
        <v>1</v>
      </c>
      <c r="F110" s="180">
        <v>1</v>
      </c>
      <c r="G110" s="180">
        <v>0</v>
      </c>
      <c r="H110" s="168">
        <f t="shared" si="8"/>
        <v>1</v>
      </c>
    </row>
    <row r="111" spans="2:8" x14ac:dyDescent="0.25">
      <c r="B111" s="545" t="s">
        <v>497</v>
      </c>
      <c r="C111" s="180">
        <v>11</v>
      </c>
      <c r="D111" s="180">
        <v>0</v>
      </c>
      <c r="E111" s="168">
        <f t="shared" si="7"/>
        <v>11</v>
      </c>
      <c r="F111" s="180">
        <v>9</v>
      </c>
      <c r="G111" s="180">
        <v>1</v>
      </c>
      <c r="H111" s="168">
        <f t="shared" si="8"/>
        <v>10</v>
      </c>
    </row>
    <row r="112" spans="2:8" x14ac:dyDescent="0.25">
      <c r="B112" s="545" t="s">
        <v>498</v>
      </c>
      <c r="C112" s="180">
        <v>1</v>
      </c>
      <c r="D112" s="180">
        <v>0</v>
      </c>
      <c r="E112" s="168">
        <f t="shared" si="7"/>
        <v>1</v>
      </c>
      <c r="F112" s="180">
        <v>1</v>
      </c>
      <c r="G112" s="180">
        <v>0</v>
      </c>
      <c r="H112" s="168">
        <f t="shared" si="8"/>
        <v>1</v>
      </c>
    </row>
    <row r="113" spans="2:8" x14ac:dyDescent="0.25">
      <c r="B113" s="545" t="s">
        <v>499</v>
      </c>
      <c r="C113" s="180">
        <v>1</v>
      </c>
      <c r="D113" s="180">
        <v>0</v>
      </c>
      <c r="E113" s="168">
        <f t="shared" si="7"/>
        <v>1</v>
      </c>
      <c r="F113" s="180">
        <v>1</v>
      </c>
      <c r="G113" s="180">
        <v>0</v>
      </c>
      <c r="H113" s="168">
        <f t="shared" si="8"/>
        <v>1</v>
      </c>
    </row>
    <row r="114" spans="2:8" x14ac:dyDescent="0.25">
      <c r="B114" s="545" t="s">
        <v>500</v>
      </c>
      <c r="C114" s="180">
        <v>1</v>
      </c>
      <c r="D114" s="180">
        <v>0</v>
      </c>
      <c r="E114" s="168">
        <f t="shared" si="7"/>
        <v>1</v>
      </c>
      <c r="F114" s="180">
        <v>1</v>
      </c>
      <c r="G114" s="180">
        <v>0</v>
      </c>
      <c r="H114" s="168">
        <f t="shared" si="8"/>
        <v>1</v>
      </c>
    </row>
    <row r="115" spans="2:8" x14ac:dyDescent="0.25">
      <c r="B115" s="545" t="s">
        <v>501</v>
      </c>
      <c r="C115" s="180">
        <v>9</v>
      </c>
      <c r="D115" s="180">
        <v>0</v>
      </c>
      <c r="E115" s="168">
        <f t="shared" si="7"/>
        <v>9</v>
      </c>
      <c r="F115" s="180">
        <v>10</v>
      </c>
      <c r="G115" s="180">
        <v>0</v>
      </c>
      <c r="H115" s="168">
        <f t="shared" si="8"/>
        <v>10</v>
      </c>
    </row>
    <row r="116" spans="2:8" x14ac:dyDescent="0.25">
      <c r="B116" s="545" t="s">
        <v>502</v>
      </c>
      <c r="C116" s="180">
        <v>7</v>
      </c>
      <c r="D116" s="180">
        <v>1</v>
      </c>
      <c r="E116" s="168">
        <f t="shared" si="7"/>
        <v>8</v>
      </c>
      <c r="F116" s="180">
        <v>7</v>
      </c>
      <c r="G116" s="180">
        <v>1</v>
      </c>
      <c r="H116" s="168">
        <f t="shared" si="8"/>
        <v>8</v>
      </c>
    </row>
    <row r="117" spans="2:8" x14ac:dyDescent="0.25">
      <c r="B117" s="545" t="s">
        <v>503</v>
      </c>
      <c r="C117" s="180">
        <v>1</v>
      </c>
      <c r="D117" s="180">
        <v>0</v>
      </c>
      <c r="E117" s="168">
        <f t="shared" si="7"/>
        <v>1</v>
      </c>
      <c r="F117" s="180">
        <v>1</v>
      </c>
      <c r="G117" s="180">
        <v>0</v>
      </c>
      <c r="H117" s="168">
        <f t="shared" si="8"/>
        <v>1</v>
      </c>
    </row>
    <row r="118" spans="2:8" x14ac:dyDescent="0.25">
      <c r="B118" s="545" t="s">
        <v>504</v>
      </c>
      <c r="C118" s="180">
        <v>1</v>
      </c>
      <c r="D118" s="180">
        <v>0</v>
      </c>
      <c r="E118" s="168">
        <f t="shared" si="7"/>
        <v>1</v>
      </c>
      <c r="F118" s="180">
        <v>1</v>
      </c>
      <c r="G118" s="180">
        <v>0</v>
      </c>
      <c r="H118" s="168">
        <f t="shared" si="8"/>
        <v>1</v>
      </c>
    </row>
    <row r="119" spans="2:8" x14ac:dyDescent="0.25">
      <c r="B119" s="545" t="s">
        <v>505</v>
      </c>
      <c r="C119" s="180">
        <v>3</v>
      </c>
      <c r="D119" s="180">
        <v>0</v>
      </c>
      <c r="E119" s="168">
        <f t="shared" si="7"/>
        <v>3</v>
      </c>
      <c r="F119" s="180">
        <v>4</v>
      </c>
      <c r="G119" s="180">
        <v>0</v>
      </c>
      <c r="H119" s="168">
        <f t="shared" si="8"/>
        <v>4</v>
      </c>
    </row>
    <row r="120" spans="2:8" x14ac:dyDescent="0.25">
      <c r="B120" s="545" t="s">
        <v>506</v>
      </c>
      <c r="C120" s="180">
        <v>2</v>
      </c>
      <c r="D120" s="180">
        <v>0</v>
      </c>
      <c r="E120" s="168">
        <f t="shared" si="7"/>
        <v>2</v>
      </c>
      <c r="F120" s="180">
        <v>2</v>
      </c>
      <c r="G120" s="180">
        <v>0</v>
      </c>
      <c r="H120" s="168">
        <f t="shared" si="8"/>
        <v>2</v>
      </c>
    </row>
    <row r="121" spans="2:8" x14ac:dyDescent="0.25">
      <c r="B121" s="545" t="s">
        <v>507</v>
      </c>
      <c r="C121" s="180">
        <v>8</v>
      </c>
      <c r="D121" s="180">
        <v>0</v>
      </c>
      <c r="E121" s="168">
        <f t="shared" si="7"/>
        <v>8</v>
      </c>
      <c r="F121" s="180">
        <v>7</v>
      </c>
      <c r="G121" s="180">
        <v>0</v>
      </c>
      <c r="H121" s="168">
        <f t="shared" si="8"/>
        <v>7</v>
      </c>
    </row>
    <row r="122" spans="2:8" x14ac:dyDescent="0.25">
      <c r="B122" s="545" t="s">
        <v>508</v>
      </c>
      <c r="C122" s="180">
        <v>1</v>
      </c>
      <c r="D122" s="180">
        <v>2</v>
      </c>
      <c r="E122" s="168">
        <f t="shared" si="7"/>
        <v>3</v>
      </c>
      <c r="F122" s="180">
        <v>1</v>
      </c>
      <c r="G122" s="180">
        <v>2</v>
      </c>
      <c r="H122" s="168">
        <f t="shared" si="8"/>
        <v>3</v>
      </c>
    </row>
    <row r="123" spans="2:8" x14ac:dyDescent="0.25">
      <c r="B123" s="545" t="s">
        <v>509</v>
      </c>
      <c r="C123" s="180">
        <v>1</v>
      </c>
      <c r="D123" s="180">
        <v>0</v>
      </c>
      <c r="E123" s="168">
        <f t="shared" si="7"/>
        <v>1</v>
      </c>
      <c r="F123" s="180">
        <v>1</v>
      </c>
      <c r="G123" s="180">
        <v>0</v>
      </c>
      <c r="H123" s="168">
        <f t="shared" si="8"/>
        <v>1</v>
      </c>
    </row>
    <row r="124" spans="2:8" x14ac:dyDescent="0.2">
      <c r="B124" s="546" t="s">
        <v>510</v>
      </c>
      <c r="C124" s="547">
        <v>15</v>
      </c>
      <c r="D124" s="548">
        <v>3</v>
      </c>
      <c r="E124" s="168">
        <f t="shared" si="7"/>
        <v>18</v>
      </c>
      <c r="F124" s="547">
        <v>15</v>
      </c>
      <c r="G124" s="548">
        <v>3</v>
      </c>
      <c r="H124" s="168">
        <f t="shared" si="8"/>
        <v>18</v>
      </c>
    </row>
    <row r="125" spans="2:8" ht="13.15" customHeight="1" x14ac:dyDescent="0.2">
      <c r="B125" s="546" t="s">
        <v>511</v>
      </c>
      <c r="C125" s="547">
        <v>1</v>
      </c>
      <c r="D125" s="548">
        <v>0</v>
      </c>
      <c r="E125" s="168">
        <f t="shared" si="7"/>
        <v>1</v>
      </c>
      <c r="F125" s="547">
        <v>2</v>
      </c>
      <c r="G125" s="548">
        <v>0</v>
      </c>
      <c r="H125" s="168">
        <f t="shared" si="8"/>
        <v>2</v>
      </c>
    </row>
    <row r="126" spans="2:8" x14ac:dyDescent="0.2">
      <c r="B126" s="546" t="s">
        <v>512</v>
      </c>
      <c r="C126" s="547">
        <v>4</v>
      </c>
      <c r="D126" s="548">
        <v>2</v>
      </c>
      <c r="E126" s="168">
        <f t="shared" si="7"/>
        <v>6</v>
      </c>
      <c r="F126" s="547">
        <v>4</v>
      </c>
      <c r="G126" s="548">
        <v>2</v>
      </c>
      <c r="H126" s="168">
        <f t="shared" si="8"/>
        <v>6</v>
      </c>
    </row>
    <row r="127" spans="2:8" x14ac:dyDescent="0.2">
      <c r="B127" s="546" t="s">
        <v>513</v>
      </c>
      <c r="C127" s="547">
        <v>1</v>
      </c>
      <c r="D127" s="548">
        <v>0</v>
      </c>
      <c r="E127" s="168">
        <f t="shared" si="7"/>
        <v>1</v>
      </c>
      <c r="F127" s="547">
        <v>1</v>
      </c>
      <c r="G127" s="548">
        <v>0</v>
      </c>
      <c r="H127" s="168">
        <f t="shared" si="8"/>
        <v>1</v>
      </c>
    </row>
    <row r="128" spans="2:8" x14ac:dyDescent="0.2">
      <c r="B128" s="546" t="s">
        <v>514</v>
      </c>
      <c r="C128" s="547">
        <v>2</v>
      </c>
      <c r="D128" s="548">
        <v>0</v>
      </c>
      <c r="E128" s="168">
        <f t="shared" si="7"/>
        <v>2</v>
      </c>
      <c r="F128" s="547">
        <v>2</v>
      </c>
      <c r="G128" s="548">
        <v>0</v>
      </c>
      <c r="H128" s="168">
        <f t="shared" si="8"/>
        <v>2</v>
      </c>
    </row>
    <row r="129" spans="2:8" x14ac:dyDescent="0.2">
      <c r="B129" s="546" t="s">
        <v>515</v>
      </c>
      <c r="C129" s="547">
        <v>1</v>
      </c>
      <c r="D129" s="548">
        <v>0</v>
      </c>
      <c r="E129" s="168">
        <f t="shared" si="7"/>
        <v>1</v>
      </c>
      <c r="F129" s="547">
        <v>1</v>
      </c>
      <c r="G129" s="548">
        <v>0</v>
      </c>
      <c r="H129" s="168">
        <f t="shared" si="8"/>
        <v>1</v>
      </c>
    </row>
    <row r="130" spans="2:8" x14ac:dyDescent="0.2">
      <c r="B130" s="546" t="s">
        <v>516</v>
      </c>
      <c r="C130" s="547">
        <v>3</v>
      </c>
      <c r="D130" s="548">
        <v>0</v>
      </c>
      <c r="E130" s="168">
        <f t="shared" si="7"/>
        <v>3</v>
      </c>
      <c r="F130" s="547">
        <v>4</v>
      </c>
      <c r="G130" s="548">
        <v>0</v>
      </c>
      <c r="H130" s="168">
        <f t="shared" si="8"/>
        <v>4</v>
      </c>
    </row>
    <row r="131" spans="2:8" x14ac:dyDescent="0.2">
      <c r="B131" s="546" t="s">
        <v>517</v>
      </c>
      <c r="C131" s="547">
        <v>1</v>
      </c>
      <c r="D131" s="548">
        <v>0</v>
      </c>
      <c r="E131" s="168">
        <f t="shared" si="7"/>
        <v>1</v>
      </c>
      <c r="F131" s="547">
        <v>1</v>
      </c>
      <c r="G131" s="548">
        <v>0</v>
      </c>
      <c r="H131" s="168">
        <f t="shared" si="8"/>
        <v>1</v>
      </c>
    </row>
    <row r="132" spans="2:8" x14ac:dyDescent="0.2">
      <c r="B132" s="546" t="s">
        <v>518</v>
      </c>
      <c r="C132" s="547">
        <v>1</v>
      </c>
      <c r="D132" s="548">
        <v>0</v>
      </c>
      <c r="E132" s="168">
        <f t="shared" si="7"/>
        <v>1</v>
      </c>
      <c r="F132" s="547">
        <v>1</v>
      </c>
      <c r="G132" s="548">
        <v>0</v>
      </c>
      <c r="H132" s="168">
        <f t="shared" si="8"/>
        <v>1</v>
      </c>
    </row>
    <row r="133" spans="2:8" x14ac:dyDescent="0.2">
      <c r="B133" s="549" t="s">
        <v>519</v>
      </c>
      <c r="C133" s="547">
        <v>0</v>
      </c>
      <c r="D133" s="548">
        <v>1</v>
      </c>
      <c r="E133" s="168">
        <f t="shared" si="7"/>
        <v>1</v>
      </c>
      <c r="F133" s="547">
        <v>0</v>
      </c>
      <c r="G133" s="548">
        <v>1</v>
      </c>
      <c r="H133" s="168">
        <f t="shared" si="8"/>
        <v>1</v>
      </c>
    </row>
    <row r="134" spans="2:8" x14ac:dyDescent="0.2">
      <c r="B134" s="550"/>
      <c r="C134" s="547"/>
      <c r="D134" s="548"/>
      <c r="E134" s="168">
        <f t="shared" si="7"/>
        <v>0</v>
      </c>
      <c r="F134" s="547"/>
      <c r="G134" s="548"/>
      <c r="H134" s="168"/>
    </row>
    <row r="135" spans="2:8" x14ac:dyDescent="0.2">
      <c r="B135" s="550"/>
      <c r="C135" s="547"/>
      <c r="D135" s="548"/>
      <c r="E135" s="168"/>
      <c r="F135" s="547"/>
      <c r="G135" s="548"/>
      <c r="H135" s="168"/>
    </row>
    <row r="136" spans="2:8" x14ac:dyDescent="0.2">
      <c r="B136" s="550"/>
      <c r="C136" s="547"/>
      <c r="D136" s="548"/>
      <c r="E136" s="551"/>
      <c r="F136" s="547"/>
      <c r="G136" s="548"/>
      <c r="H136" s="551"/>
    </row>
    <row r="137" spans="2:8" x14ac:dyDescent="0.2">
      <c r="B137" s="550"/>
      <c r="C137" s="547"/>
      <c r="D137" s="548"/>
      <c r="E137" s="551"/>
      <c r="F137" s="547"/>
      <c r="G137" s="548"/>
      <c r="H137" s="551"/>
    </row>
    <row r="138" spans="2:8" x14ac:dyDescent="0.2">
      <c r="B138" s="550"/>
      <c r="C138" s="547"/>
      <c r="D138" s="548"/>
      <c r="E138" s="551"/>
      <c r="F138" s="547"/>
      <c r="G138" s="548"/>
      <c r="H138" s="551"/>
    </row>
    <row r="139" spans="2:8" x14ac:dyDescent="0.2">
      <c r="B139" s="550"/>
      <c r="C139" s="547"/>
      <c r="D139" s="548"/>
      <c r="E139" s="551"/>
      <c r="F139" s="547"/>
      <c r="G139" s="548"/>
      <c r="H139" s="551"/>
    </row>
    <row r="140" spans="2:8" x14ac:dyDescent="0.2">
      <c r="B140" s="552"/>
      <c r="C140" s="547"/>
      <c r="D140" s="548"/>
      <c r="E140" s="551"/>
      <c r="F140" s="547"/>
      <c r="G140" s="548"/>
      <c r="H140" s="551"/>
    </row>
    <row r="141" spans="2:8" x14ac:dyDescent="0.2">
      <c r="B141" s="552"/>
      <c r="C141" s="547"/>
      <c r="D141" s="548"/>
      <c r="E141" s="551"/>
      <c r="F141" s="547"/>
      <c r="G141" s="548"/>
      <c r="H141" s="551"/>
    </row>
    <row r="142" spans="2:8" x14ac:dyDescent="0.2">
      <c r="B142" s="552"/>
      <c r="C142" s="547"/>
      <c r="D142" s="548"/>
      <c r="E142" s="551"/>
      <c r="F142" s="547"/>
      <c r="G142" s="548"/>
      <c r="H142" s="551"/>
    </row>
    <row r="143" spans="2:8" x14ac:dyDescent="0.2">
      <c r="B143" s="552"/>
      <c r="C143" s="547"/>
      <c r="D143" s="548"/>
      <c r="E143" s="551"/>
      <c r="F143" s="547"/>
      <c r="G143" s="548"/>
      <c r="H143" s="551"/>
    </row>
    <row r="144" spans="2:8" x14ac:dyDescent="0.2">
      <c r="B144" s="552"/>
      <c r="C144" s="547"/>
      <c r="D144" s="548"/>
      <c r="E144" s="551"/>
      <c r="F144" s="547"/>
      <c r="G144" s="548"/>
      <c r="H144" s="551"/>
    </row>
    <row r="145" spans="2:8" x14ac:dyDescent="0.25">
      <c r="B145" s="553"/>
      <c r="C145" s="180"/>
      <c r="D145" s="180"/>
      <c r="E145" s="168"/>
      <c r="F145" s="169"/>
      <c r="G145" s="169"/>
      <c r="H145" s="168"/>
    </row>
    <row r="146" spans="2:8" x14ac:dyDescent="0.25">
      <c r="B146" s="190" t="s">
        <v>520</v>
      </c>
    </row>
    <row r="149" spans="2:8" x14ac:dyDescent="0.25">
      <c r="B149" s="163" t="s">
        <v>295</v>
      </c>
      <c r="C149" s="1" t="s">
        <v>281</v>
      </c>
    </row>
    <row r="150" spans="2:8" x14ac:dyDescent="0.25">
      <c r="B150" s="163" t="s">
        <v>304</v>
      </c>
      <c r="C150" s="1" t="s">
        <v>302</v>
      </c>
    </row>
    <row r="151" spans="2:8" x14ac:dyDescent="0.25">
      <c r="B151" s="163" t="s">
        <v>284</v>
      </c>
      <c r="C151" s="1" t="s">
        <v>305</v>
      </c>
    </row>
    <row r="152" spans="2:8" x14ac:dyDescent="0.25">
      <c r="B152" s="163" t="s">
        <v>307</v>
      </c>
      <c r="C152" s="1" t="s">
        <v>306</v>
      </c>
    </row>
    <row r="153" spans="2:8" x14ac:dyDescent="0.25">
      <c r="B153" s="163" t="s">
        <v>298</v>
      </c>
      <c r="C153" s="1" t="s">
        <v>308</v>
      </c>
    </row>
    <row r="154" spans="2:8" x14ac:dyDescent="0.25">
      <c r="B154" s="163" t="s">
        <v>310</v>
      </c>
      <c r="C154" s="1" t="s">
        <v>309</v>
      </c>
    </row>
    <row r="155" spans="2:8" x14ac:dyDescent="0.25">
      <c r="B155" s="163" t="s">
        <v>273</v>
      </c>
      <c r="C155" s="1" t="s">
        <v>283</v>
      </c>
    </row>
    <row r="156" spans="2:8" x14ac:dyDescent="0.25">
      <c r="B156" s="163" t="s">
        <v>271</v>
      </c>
      <c r="C156" s="1" t="s">
        <v>313</v>
      </c>
    </row>
    <row r="157" spans="2:8" x14ac:dyDescent="0.25">
      <c r="B157" s="163" t="s">
        <v>259</v>
      </c>
      <c r="C157" s="1" t="s">
        <v>314</v>
      </c>
    </row>
    <row r="158" spans="2:8" x14ac:dyDescent="0.25">
      <c r="B158" s="163" t="s">
        <v>312</v>
      </c>
      <c r="C158" s="1" t="s">
        <v>316</v>
      </c>
    </row>
    <row r="159" spans="2:8" x14ac:dyDescent="0.25">
      <c r="B159" s="163" t="s">
        <v>270</v>
      </c>
      <c r="C159" s="1" t="s">
        <v>296</v>
      </c>
    </row>
    <row r="160" spans="2:8" x14ac:dyDescent="0.25">
      <c r="C160" s="1" t="s">
        <v>317</v>
      </c>
    </row>
    <row r="161" spans="3:3" x14ac:dyDescent="0.25">
      <c r="C161" s="1" t="s">
        <v>318</v>
      </c>
    </row>
    <row r="162" spans="3:3" x14ac:dyDescent="0.25">
      <c r="C162" s="1" t="s">
        <v>319</v>
      </c>
    </row>
    <row r="163" spans="3:3" x14ac:dyDescent="0.25">
      <c r="C163" s="1" t="s">
        <v>320</v>
      </c>
    </row>
    <row r="164" spans="3:3" x14ac:dyDescent="0.25">
      <c r="C164" s="1" t="s">
        <v>321</v>
      </c>
    </row>
    <row r="165" spans="3:3" x14ac:dyDescent="0.25">
      <c r="C165" s="1" t="s">
        <v>322</v>
      </c>
    </row>
    <row r="166" spans="3:3" x14ac:dyDescent="0.25">
      <c r="C166" s="1" t="s">
        <v>323</v>
      </c>
    </row>
    <row r="167" spans="3:3" x14ac:dyDescent="0.25">
      <c r="C167" s="1" t="s">
        <v>324</v>
      </c>
    </row>
    <row r="168" spans="3:3" x14ac:dyDescent="0.25">
      <c r="C168" s="1" t="s">
        <v>325</v>
      </c>
    </row>
    <row r="169" spans="3:3" x14ac:dyDescent="0.25">
      <c r="C169" s="1" t="s">
        <v>326</v>
      </c>
    </row>
    <row r="170" spans="3:3" x14ac:dyDescent="0.25">
      <c r="C170" s="1" t="s">
        <v>327</v>
      </c>
    </row>
    <row r="171" spans="3:3" x14ac:dyDescent="0.25">
      <c r="C171" s="1" t="s">
        <v>328</v>
      </c>
    </row>
    <row r="172" spans="3:3" x14ac:dyDescent="0.25">
      <c r="C172" s="1" t="s">
        <v>285</v>
      </c>
    </row>
    <row r="173" spans="3:3" x14ac:dyDescent="0.25">
      <c r="C173" s="1" t="s">
        <v>279</v>
      </c>
    </row>
    <row r="186" ht="13.9" customHeight="1" x14ac:dyDescent="0.25"/>
  </sheetData>
  <mergeCells count="6">
    <mergeCell ref="C4:F4"/>
    <mergeCell ref="B18:B19"/>
    <mergeCell ref="C18:F18"/>
    <mergeCell ref="B53:I53"/>
    <mergeCell ref="C67:E67"/>
    <mergeCell ref="F67:H6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b7919694-6f7e-4008-b8d9-56ebe66c43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FF7EF1C1C062143BFFF71E2625A0116" ma:contentTypeVersion="21" ma:contentTypeDescription="Create a new document." ma:contentTypeScope="" ma:versionID="cb69173be71fc901a0d4e8ccf0c294ae">
  <xsd:schema xmlns:xsd="http://www.w3.org/2001/XMLSchema" xmlns:xs="http://www.w3.org/2001/XMLSchema" xmlns:p="http://schemas.microsoft.com/office/2006/metadata/properties" xmlns:ns2="b7919694-6f7e-4008-b8d9-56ebe66c43d7" xmlns:ns3="9b483750-598d-46a0-877d-052f8f804d23" targetNamespace="http://schemas.microsoft.com/office/2006/metadata/properties" ma:root="true" ma:fieldsID="d6d7468bce4609cb6f807901637e168a" ns2:_="" ns3:_="">
    <xsd:import namespace="b7919694-6f7e-4008-b8d9-56ebe66c43d7"/>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9694-6f7e-4008-b8d9-56ebe66c43d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9"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6b22ef0-6631-4e3d-8660-4ec86ac9ea1c}"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Sisutüüp"/>
        <xsd:element ref="dc:title" minOccurs="0" maxOccurs="1" ma:index="3"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7033A-3F22-4301-BC4B-B1C7D3123093}">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purl.org/dc/dcmitype/"/>
    <ds:schemaRef ds:uri="9b483750-598d-46a0-877d-052f8f804d23"/>
    <ds:schemaRef ds:uri="http://schemas.microsoft.com/office/infopath/2007/PartnerControls"/>
    <ds:schemaRef ds:uri="http://schemas.openxmlformats.org/package/2006/metadata/core-properties"/>
    <ds:schemaRef ds:uri="b7919694-6f7e-4008-b8d9-56ebe66c43d7"/>
  </ds:schemaRefs>
</ds:datastoreItem>
</file>

<file path=customXml/itemProps2.xml><?xml version="1.0" encoding="utf-8"?>
<ds:datastoreItem xmlns:ds="http://schemas.openxmlformats.org/officeDocument/2006/customXml" ds:itemID="{CF9E2A65-2E47-4CA8-9FBC-15771B2F0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19694-6f7e-4008-b8d9-56ebe66c43d7"/>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5DC840-CA6B-439F-916F-55162E871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1</vt:i4>
      </vt:variant>
    </vt:vector>
  </HeadingPairs>
  <TitlesOfParts>
    <vt:vector size="7" baseType="lpstr">
      <vt:lpstr>kuni 2025 detsember tegevuskava</vt:lpstr>
      <vt:lpstr>Personal</vt:lpstr>
      <vt:lpstr>Seirearuanne</vt:lpstr>
      <vt:lpstr>KK_lisa</vt:lpstr>
      <vt:lpstr>Tegevuskava</vt:lpstr>
      <vt:lpstr>Ettekande arvutused</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Liilia Kristal</dc:creator>
  <cp:keywords/>
  <dc:description/>
  <cp:lastModifiedBy>Margo Keerme - MKM</cp:lastModifiedBy>
  <cp:revision/>
  <cp:lastPrinted>2024-10-11T13:45:13Z</cp:lastPrinted>
  <dcterms:created xsi:type="dcterms:W3CDTF">2020-07-01T09:13:12Z</dcterms:created>
  <dcterms:modified xsi:type="dcterms:W3CDTF">2024-10-11T13:45:32Z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0x010100CFF7EF1C1C062143BFFF71E2625A0116</vt:lpwstr>
  </property>
  <property fmtid="{D5CDD505-2E9C-101B-9397-08002B2CF9AE}" pid="3" name="_dlc_DocIdItemGuid">
    <vt:lpwstr>3d82843b-2587-4efb-bd50-5d6f5c6dcffa</vt:lpwstr>
  </property>
  <property fmtid="{D5CDD505-2E9C-101B-9397-08002B2CF9AE}" pid="4" name="MediaServiceImageTags">
    <vt:lpwstr/>
  </property>
  <property fmtid="{D5CDD505-2E9C-101B-9397-08002B2CF9AE}" pid="5" name="MSIP_Label_defa4170-0d19-0005-0004-bc88714345d2_Enabled">
    <vt:lpwstr>true</vt:lpwstr>
  </property>
  <property fmtid="{D5CDD505-2E9C-101B-9397-08002B2CF9AE}" pid="6" name="MSIP_Label_defa4170-0d19-0005-0004-bc88714345d2_SetDate">
    <vt:lpwstr>2024-07-11T11:14:09Z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d12222f6-aa9c-4787-aaa4-a34c5a165fde</vt:lpwstr>
  </property>
  <property fmtid="{D5CDD505-2E9C-101B-9397-08002B2CF9AE}" pid="11" name="MSIP_Label_defa4170-0d19-0005-0004-bc88714345d2_ContentBits">
    <vt:lpwstr>0</vt:lpwstr>
  </property>
</Properties>
</file>